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6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asic1\Desktop\"/>
    </mc:Choice>
  </mc:AlternateContent>
  <bookViews>
    <workbookView xWindow="0" yWindow="0" windowWidth="20730" windowHeight="11610" tabRatio="662" activeTab="7"/>
  </bookViews>
  <sheets>
    <sheet name="MED. I NEMED." sheetId="1" r:id="rId1"/>
    <sheet name="ZN" sheetId="3" r:id="rId2"/>
    <sheet name="BN" sheetId="4" r:id="rId3"/>
    <sheet name="OKVIRNI SPORAZUMI" sheetId="5" r:id="rId4"/>
    <sheet name="LIJEKOVI" sheetId="2" r:id="rId5"/>
    <sheet name="LIJEKOVI OKVIRNI 2016" sheetId="7" r:id="rId6"/>
    <sheet name="ZN LIJEKOVI" sheetId="6" r:id="rId7"/>
    <sheet name="OSTALE BOLNICE" sheetId="9" r:id="rId8"/>
  </sheets>
  <definedNames>
    <definedName name="_xlnm._FilterDatabase" localSheetId="2" hidden="1">BN!$A$6:$I$176</definedName>
    <definedName name="_xlnm._FilterDatabase" localSheetId="4" hidden="1">LIJEKOVI!$A$6:$J$88</definedName>
    <definedName name="_xlnm._FilterDatabase" localSheetId="5" hidden="1">'LIJEKOVI OKVIRNI 2016'!$A$6:$J$76</definedName>
    <definedName name="_xlnm._FilterDatabase" localSheetId="0" hidden="1">'MED. I NEMED.'!$A$6:$J$364</definedName>
    <definedName name="_xlnm._FilterDatabase" localSheetId="7" hidden="1">'OSTALE BOLNICE'!$A$5:$J$942</definedName>
    <definedName name="_xlnm._FilterDatabase" localSheetId="1" hidden="1">ZN!$A$6:$J$149</definedName>
    <definedName name="_xlnm._FilterDatabase" localSheetId="6" hidden="1">'ZN LIJEKOVI'!$A$6:$J$110</definedName>
  </definedNames>
  <calcPr calcId="162913"/>
</workbook>
</file>

<file path=xl/calcChain.xml><?xml version="1.0" encoding="utf-8"?>
<calcChain xmlns="http://schemas.openxmlformats.org/spreadsheetml/2006/main">
  <c r="G330" i="1" l="1"/>
  <c r="F175" i="4"/>
  <c r="I722" i="9" l="1"/>
  <c r="I721" i="9"/>
  <c r="I762" i="9"/>
  <c r="I761" i="9"/>
  <c r="I748" i="9"/>
  <c r="I720" i="9"/>
  <c r="I719" i="9"/>
  <c r="I718" i="9"/>
  <c r="I954" i="9"/>
  <c r="I953" i="9"/>
  <c r="I952" i="9"/>
  <c r="I91" i="9" l="1"/>
  <c r="I90" i="9"/>
  <c r="I158" i="9" l="1"/>
  <c r="I157" i="9"/>
  <c r="I686" i="9"/>
  <c r="I685" i="9"/>
  <c r="I684" i="9"/>
  <c r="I1018" i="9"/>
  <c r="I1017" i="9"/>
  <c r="I1016" i="9"/>
  <c r="I598" i="9"/>
  <c r="I597" i="9"/>
  <c r="I596" i="9"/>
  <c r="I918" i="9"/>
  <c r="I845" i="9"/>
  <c r="I844" i="9"/>
  <c r="I843" i="9"/>
  <c r="I444" i="9"/>
  <c r="I443" i="9"/>
  <c r="I442" i="9"/>
  <c r="I514" i="9"/>
  <c r="I513" i="9"/>
  <c r="I251" i="9"/>
  <c r="I250" i="9"/>
  <c r="I354" i="9"/>
  <c r="I353" i="9"/>
  <c r="I352" i="9"/>
  <c r="I842" i="9" l="1"/>
  <c r="I950" i="9"/>
  <c r="I87" i="9"/>
  <c r="I86" i="9"/>
  <c r="I85" i="9"/>
  <c r="I84" i="9"/>
  <c r="I1015" i="9"/>
  <c r="I1014" i="9"/>
  <c r="I1013" i="9"/>
  <c r="I1012" i="9"/>
  <c r="I1011" i="9"/>
  <c r="I1010" i="9"/>
  <c r="I917" i="9"/>
  <c r="I916" i="9"/>
  <c r="I915" i="9"/>
  <c r="I914" i="9"/>
  <c r="I913" i="9"/>
  <c r="I681" i="9"/>
  <c r="I680" i="9"/>
  <c r="I679" i="9"/>
  <c r="I678" i="9"/>
  <c r="I595" i="9"/>
  <c r="I594" i="9"/>
  <c r="I593" i="9"/>
  <c r="I592" i="9"/>
  <c r="I591" i="9"/>
  <c r="I590" i="9"/>
  <c r="I249" i="9" l="1"/>
  <c r="I156" i="9"/>
  <c r="I83" i="9"/>
  <c r="I82" i="9"/>
  <c r="I584" i="9"/>
  <c r="I582" i="9"/>
  <c r="I581" i="9"/>
  <c r="I580" i="9"/>
  <c r="I579" i="9"/>
  <c r="I669" i="9"/>
  <c r="I668" i="9"/>
  <c r="I667" i="9"/>
  <c r="I508" i="9"/>
  <c r="I507" i="9"/>
  <c r="I506" i="9"/>
  <c r="I505" i="9"/>
  <c r="I903" i="9"/>
  <c r="I430" i="9"/>
  <c r="I578" i="9" l="1"/>
  <c r="I666" i="9"/>
  <c r="I835" i="9"/>
  <c r="I834" i="9"/>
  <c r="I1002" i="9"/>
  <c r="I1001" i="9"/>
  <c r="I1000" i="9"/>
  <c r="I569" i="9"/>
  <c r="I658" i="9"/>
  <c r="I895" i="9"/>
  <c r="I894" i="9"/>
  <c r="I893" i="9"/>
  <c r="I892" i="9"/>
  <c r="I946" i="9"/>
  <c r="I945" i="9"/>
  <c r="I944" i="9"/>
  <c r="I994" i="9"/>
  <c r="I993" i="9"/>
  <c r="I991" i="9"/>
  <c r="I76" i="9"/>
  <c r="I75" i="9"/>
  <c r="I74" i="9"/>
  <c r="I73" i="9"/>
  <c r="I72" i="9"/>
  <c r="I826" i="9"/>
  <c r="I825" i="9"/>
  <c r="I824" i="9"/>
  <c r="I822" i="9"/>
  <c r="I425" i="9"/>
  <c r="I424" i="9"/>
  <c r="I423" i="9"/>
  <c r="I422" i="9"/>
  <c r="I421" i="9"/>
  <c r="I989" i="9"/>
  <c r="I819" i="9"/>
  <c r="I657" i="9"/>
  <c r="I568" i="9"/>
  <c r="I499" i="9" l="1"/>
  <c r="I71" i="9"/>
  <c r="I70" i="9"/>
  <c r="I891" i="9"/>
  <c r="I890" i="9"/>
  <c r="I889" i="9"/>
  <c r="I419" i="9"/>
  <c r="I497" i="9"/>
  <c r="I496" i="9"/>
  <c r="I495" i="9"/>
  <c r="I494" i="9"/>
  <c r="F70" i="7" l="1"/>
  <c r="F71" i="7"/>
  <c r="F170" i="4"/>
  <c r="F167" i="4"/>
  <c r="G360" i="1" l="1"/>
  <c r="G359" i="1"/>
  <c r="I171" i="9" l="1"/>
  <c r="I170" i="9"/>
  <c r="I169" i="9"/>
  <c r="I168" i="9"/>
  <c r="F163" i="4" l="1"/>
  <c r="G353" i="1"/>
  <c r="F69" i="7"/>
  <c r="I643" i="9" l="1"/>
  <c r="I239" i="9"/>
  <c r="I238" i="9"/>
  <c r="I236" i="9"/>
  <c r="I235" i="9"/>
  <c r="I142" i="9" l="1"/>
  <c r="I141" i="9"/>
  <c r="F161" i="4"/>
  <c r="I341" i="9"/>
  <c r="I340" i="9"/>
  <c r="I338" i="9"/>
  <c r="I337" i="9"/>
  <c r="I412" i="9"/>
  <c r="I803" i="9"/>
  <c r="I802" i="9"/>
  <c r="I801" i="9"/>
  <c r="I800" i="9"/>
  <c r="I553" i="9"/>
  <c r="I552" i="9"/>
  <c r="F160" i="4"/>
  <c r="I876" i="9" l="1"/>
  <c r="I234" i="9"/>
  <c r="I233" i="9"/>
  <c r="I232" i="9"/>
  <c r="I336" i="9"/>
  <c r="I335" i="9"/>
  <c r="G350" i="1" l="1"/>
  <c r="G349" i="1"/>
  <c r="I798" i="9" l="1"/>
  <c r="I140" i="9"/>
  <c r="I139" i="9"/>
  <c r="I138" i="9"/>
  <c r="I137" i="9"/>
  <c r="I334" i="9"/>
  <c r="I333" i="9"/>
  <c r="I332" i="9"/>
  <c r="I551" i="9"/>
  <c r="I549" i="9"/>
  <c r="I639" i="9"/>
  <c r="I638" i="9"/>
  <c r="I636" i="9"/>
  <c r="I633" i="9" l="1"/>
  <c r="I632" i="9"/>
  <c r="I631" i="9"/>
  <c r="I630" i="9"/>
  <c r="I629" i="9"/>
  <c r="I965" i="9"/>
  <c r="I964" i="9"/>
  <c r="I963" i="9"/>
  <c r="I962" i="9"/>
  <c r="I961" i="9"/>
  <c r="I331" i="9" l="1"/>
  <c r="I328" i="9"/>
  <c r="F150" i="4" l="1"/>
  <c r="F149" i="4"/>
  <c r="I136" i="9"/>
  <c r="I135" i="9"/>
  <c r="I134" i="9"/>
  <c r="I133" i="9"/>
  <c r="I230" i="9"/>
  <c r="I229" i="9"/>
  <c r="I228" i="9"/>
  <c r="I227" i="9"/>
  <c r="I327" i="9"/>
  <c r="I326" i="9"/>
  <c r="I325" i="9"/>
  <c r="I324" i="9"/>
  <c r="I323" i="9"/>
  <c r="F146" i="3" l="1"/>
  <c r="G336" i="1" l="1"/>
  <c r="G322" i="1" l="1"/>
  <c r="G320" i="1" l="1"/>
  <c r="G319" i="1" l="1"/>
  <c r="G315" i="1" l="1"/>
  <c r="G310" i="1" l="1"/>
  <c r="G311" i="1" l="1"/>
  <c r="G308" i="1" l="1"/>
  <c r="F34" i="6" l="1"/>
  <c r="I763" i="9" l="1"/>
  <c r="F138" i="4" l="1"/>
  <c r="I924" i="9" l="1"/>
  <c r="I405" i="9" l="1"/>
  <c r="F142" i="3"/>
  <c r="F137" i="4"/>
  <c r="F136" i="4" l="1"/>
  <c r="I777" i="9" l="1"/>
  <c r="I776" i="9"/>
  <c r="I775" i="9"/>
  <c r="I528" i="9"/>
  <c r="I527" i="9"/>
  <c r="I526" i="9"/>
  <c r="I525" i="9"/>
  <c r="I524" i="9"/>
  <c r="I855" i="9" l="1"/>
  <c r="I854" i="9"/>
  <c r="I853" i="9"/>
  <c r="I852" i="9"/>
  <c r="I615" i="9"/>
  <c r="I614" i="9"/>
  <c r="I613" i="9"/>
  <c r="I313" i="9"/>
  <c r="I694" i="9" l="1"/>
  <c r="F141" i="3" l="1"/>
  <c r="G295" i="1" l="1"/>
  <c r="G294" i="1"/>
  <c r="G293" i="1"/>
  <c r="G292" i="1"/>
  <c r="G289" i="1" l="1"/>
  <c r="G287" i="1"/>
  <c r="I392" i="9" l="1"/>
  <c r="I391" i="9"/>
  <c r="I390" i="9"/>
  <c r="I389" i="9"/>
  <c r="I388" i="9"/>
  <c r="I387" i="9"/>
  <c r="G285" i="1" l="1"/>
  <c r="I480" i="9"/>
  <c r="I479" i="9"/>
  <c r="I478" i="9"/>
  <c r="F129" i="4" l="1"/>
  <c r="G280" i="1"/>
  <c r="F127" i="4" l="1"/>
  <c r="G274" i="1"/>
  <c r="F126" i="4" l="1"/>
  <c r="F125" i="4"/>
  <c r="I379" i="9" l="1"/>
  <c r="I377" i="9"/>
  <c r="I376" i="9"/>
  <c r="I375" i="9"/>
  <c r="I374" i="9"/>
  <c r="I373" i="9"/>
  <c r="I473" i="9"/>
  <c r="I472" i="9"/>
  <c r="I471" i="9"/>
  <c r="G270" i="1" l="1"/>
  <c r="F124" i="4"/>
  <c r="G267" i="1" l="1"/>
  <c r="G266" i="1"/>
  <c r="F107" i="6" l="1"/>
  <c r="F123" i="4"/>
  <c r="G263" i="1" l="1"/>
  <c r="F122" i="4"/>
  <c r="F106" i="6"/>
  <c r="F105" i="6"/>
  <c r="F104" i="6"/>
  <c r="F103" i="6"/>
  <c r="F133" i="3" l="1"/>
  <c r="F102" i="6"/>
  <c r="I358" i="9" l="1"/>
  <c r="I459" i="9"/>
  <c r="I458" i="9"/>
  <c r="I357" i="9"/>
  <c r="I457" i="9"/>
  <c r="I456" i="9"/>
  <c r="I455" i="9"/>
  <c r="I454" i="9"/>
  <c r="F132" i="3"/>
  <c r="G259" i="1"/>
  <c r="G258" i="1"/>
  <c r="F118" i="4"/>
  <c r="F101" i="6"/>
  <c r="F50" i="7"/>
  <c r="I453" i="9"/>
  <c r="F131" i="3" l="1"/>
  <c r="G256" i="1"/>
  <c r="F129" i="3"/>
  <c r="F127" i="3"/>
  <c r="F117" i="4"/>
  <c r="F49" i="7" l="1"/>
  <c r="F48" i="7"/>
  <c r="I117" i="9" l="1"/>
  <c r="I204" i="9"/>
  <c r="I296" i="9"/>
  <c r="I356" i="9"/>
  <c r="I451" i="9" l="1"/>
  <c r="I261" i="9"/>
  <c r="I260" i="9"/>
  <c r="I355" i="9"/>
  <c r="F126" i="3" l="1"/>
  <c r="G253" i="1"/>
  <c r="I116" i="9" l="1"/>
  <c r="I115" i="9"/>
  <c r="I114" i="9"/>
  <c r="I113" i="9"/>
  <c r="F125" i="3" l="1"/>
  <c r="F124" i="3"/>
  <c r="F123" i="3"/>
  <c r="F122" i="3"/>
  <c r="F118" i="3"/>
  <c r="F121" i="3"/>
  <c r="F119" i="3"/>
  <c r="F117" i="3"/>
  <c r="F100" i="6"/>
  <c r="F99" i="6"/>
  <c r="F98" i="6"/>
  <c r="G251" i="1"/>
  <c r="I195" i="9" l="1"/>
  <c r="I193" i="9"/>
  <c r="I192" i="9"/>
  <c r="I191" i="9"/>
  <c r="I293" i="9"/>
  <c r="I291" i="9"/>
  <c r="I290" i="9"/>
  <c r="I289" i="9"/>
  <c r="I274" i="9" l="1"/>
  <c r="I273" i="9"/>
  <c r="I272" i="9"/>
  <c r="I271" i="9"/>
  <c r="I270" i="9"/>
  <c r="F116" i="3" l="1"/>
  <c r="F114" i="3"/>
  <c r="G84" i="2" l="1"/>
  <c r="G83" i="2"/>
  <c r="I257" i="9" l="1"/>
  <c r="I182" i="9"/>
  <c r="I181" i="9"/>
  <c r="I180" i="9"/>
  <c r="I109" i="9"/>
  <c r="I106" i="9"/>
  <c r="I105" i="9"/>
  <c r="G250" i="1" l="1"/>
  <c r="F110" i="3" l="1"/>
  <c r="F96" i="6"/>
  <c r="F107" i="3" l="1"/>
  <c r="F105" i="3"/>
  <c r="F95" i="6" l="1"/>
  <c r="F94" i="6"/>
  <c r="F91" i="6"/>
  <c r="F90" i="6"/>
  <c r="F89" i="6"/>
  <c r="F103" i="3"/>
  <c r="F116" i="4"/>
  <c r="F100" i="3" l="1"/>
  <c r="F99" i="3"/>
  <c r="F114" i="4" l="1"/>
  <c r="F87" i="6" l="1"/>
  <c r="F97" i="3" l="1"/>
  <c r="F90" i="3"/>
  <c r="F89" i="3"/>
  <c r="G248" i="1"/>
  <c r="F82" i="6"/>
  <c r="F81" i="6"/>
  <c r="F80" i="6"/>
  <c r="F79" i="6"/>
  <c r="F78" i="6"/>
  <c r="F76" i="6"/>
  <c r="F75" i="6"/>
  <c r="I254" i="9" l="1"/>
  <c r="I253" i="9"/>
  <c r="F113" i="4" l="1"/>
  <c r="F85" i="3" l="1"/>
  <c r="F82" i="3" l="1"/>
  <c r="F74" i="6"/>
  <c r="F73" i="6"/>
  <c r="F71" i="6"/>
  <c r="F79" i="3"/>
  <c r="F78" i="3"/>
  <c r="G243" i="1" l="1"/>
  <c r="F69" i="6" l="1"/>
  <c r="F68" i="6" l="1"/>
  <c r="F67" i="6" l="1"/>
  <c r="F66" i="6"/>
  <c r="G242" i="1" l="1"/>
  <c r="G241" i="1"/>
  <c r="F109" i="4"/>
  <c r="F65" i="6" l="1"/>
  <c r="F64" i="6"/>
  <c r="G239" i="1" l="1"/>
  <c r="G238" i="1"/>
  <c r="G237" i="1" l="1"/>
  <c r="F108" i="4" l="1"/>
  <c r="G236" i="1" l="1"/>
  <c r="G235" i="1"/>
  <c r="G233" i="1"/>
  <c r="F76" i="3"/>
  <c r="G232" i="1"/>
  <c r="F63" i="6"/>
  <c r="F45" i="7" l="1"/>
  <c r="F44" i="7"/>
  <c r="F43" i="7"/>
  <c r="F41" i="7"/>
  <c r="F59" i="6"/>
  <c r="F74" i="3"/>
  <c r="I174" i="9" l="1"/>
  <c r="I173" i="9"/>
  <c r="I167" i="9" l="1"/>
  <c r="I166" i="9"/>
  <c r="I165" i="9"/>
  <c r="I164" i="9"/>
  <c r="I163" i="9"/>
  <c r="F56" i="6" l="1"/>
  <c r="F55" i="6"/>
  <c r="F54" i="6"/>
  <c r="F53" i="6"/>
  <c r="F52" i="6"/>
  <c r="I49" i="9" l="1"/>
  <c r="I48" i="9"/>
  <c r="I47" i="9"/>
  <c r="F50" i="6"/>
  <c r="F51" i="6"/>
  <c r="F73" i="3"/>
  <c r="G221" i="1" l="1"/>
  <c r="I162" i="9" l="1"/>
  <c r="I161" i="9"/>
  <c r="I160" i="9"/>
  <c r="I159" i="9"/>
  <c r="I34" i="9"/>
  <c r="I33" i="9"/>
  <c r="I32" i="9"/>
  <c r="I31" i="9"/>
  <c r="I28" i="9"/>
  <c r="I27" i="9"/>
  <c r="I21" i="9"/>
  <c r="I19" i="9"/>
  <c r="I18" i="9"/>
  <c r="I17" i="9"/>
  <c r="I16" i="9"/>
  <c r="I15" i="9"/>
  <c r="I14" i="9"/>
  <c r="F49" i="6" l="1"/>
  <c r="F44" i="6" l="1"/>
  <c r="F43" i="6"/>
  <c r="I12" i="9"/>
  <c r="F106" i="4" l="1"/>
  <c r="I10" i="9"/>
  <c r="I9" i="9"/>
  <c r="I7" i="9"/>
  <c r="I6" i="9"/>
  <c r="G219" i="1" l="1"/>
  <c r="F42" i="6"/>
  <c r="F41" i="6" l="1"/>
  <c r="F40" i="6"/>
  <c r="F39" i="6"/>
  <c r="F38" i="6"/>
  <c r="F37" i="6"/>
  <c r="F38" i="7"/>
  <c r="F37" i="7"/>
  <c r="F31" i="6" l="1"/>
  <c r="F28" i="6" l="1"/>
  <c r="F24" i="6" l="1"/>
  <c r="F22" i="6" l="1"/>
  <c r="F23" i="6"/>
  <c r="G210" i="1" l="1"/>
  <c r="G207" i="1" l="1"/>
  <c r="F103" i="4"/>
  <c r="F68" i="3" l="1"/>
  <c r="F17" i="6" l="1"/>
  <c r="G195" i="1" l="1"/>
  <c r="G193" i="1"/>
  <c r="F15" i="6" l="1"/>
  <c r="F16" i="6"/>
  <c r="F14" i="6"/>
  <c r="F13" i="6"/>
  <c r="E33" i="5"/>
  <c r="E31" i="5"/>
  <c r="G187" i="1" l="1"/>
  <c r="F12" i="6"/>
  <c r="F11" i="6"/>
  <c r="F9" i="6"/>
  <c r="F8" i="6"/>
  <c r="F66" i="3"/>
  <c r="F61" i="3"/>
  <c r="F59" i="3"/>
  <c r="G181" i="1" l="1"/>
  <c r="G180" i="1"/>
  <c r="G174" i="1" l="1"/>
  <c r="G176" i="1"/>
  <c r="G175" i="1"/>
  <c r="G173" i="1"/>
  <c r="G159" i="1" l="1"/>
  <c r="G156" i="1"/>
  <c r="F47" i="3" l="1"/>
  <c r="F46" i="3"/>
  <c r="F44" i="3"/>
  <c r="F42" i="3" l="1"/>
  <c r="G146" i="1"/>
  <c r="F36" i="3"/>
  <c r="F35" i="3"/>
  <c r="E12" i="5" l="1"/>
  <c r="G139" i="1"/>
  <c r="E10" i="5"/>
  <c r="E8" i="5" l="1"/>
  <c r="G138" i="1"/>
  <c r="G137" i="1"/>
  <c r="F72" i="4" l="1"/>
  <c r="F15" i="3" l="1"/>
  <c r="F70" i="4"/>
  <c r="F14" i="3"/>
  <c r="G120" i="1"/>
  <c r="G119" i="1"/>
  <c r="F12" i="3"/>
  <c r="F64" i="4"/>
  <c r="F62" i="4"/>
  <c r="G76" i="2"/>
  <c r="G71" i="2"/>
  <c r="F11" i="3"/>
  <c r="F7" i="3"/>
  <c r="G48" i="1" l="1"/>
  <c r="G43" i="1" l="1"/>
  <c r="G42" i="1"/>
  <c r="G41" i="1"/>
  <c r="G40" i="1"/>
  <c r="G38" i="1"/>
  <c r="G37" i="1"/>
  <c r="G41" i="2"/>
  <c r="G40" i="2"/>
  <c r="G39" i="2"/>
  <c r="G38" i="2"/>
  <c r="G37" i="2"/>
  <c r="G36" i="2"/>
  <c r="G35" i="2"/>
  <c r="G34" i="2"/>
  <c r="G29" i="1"/>
  <c r="G28" i="1" l="1"/>
  <c r="G33" i="2" l="1"/>
  <c r="G29" i="2"/>
  <c r="G28" i="2"/>
  <c r="G25" i="2" l="1"/>
  <c r="G23" i="2"/>
  <c r="G22" i="2"/>
  <c r="G21" i="2"/>
  <c r="G20" i="2"/>
  <c r="G19" i="2"/>
  <c r="G18" i="2"/>
  <c r="G17" i="2"/>
  <c r="G14" i="2" l="1"/>
  <c r="G13" i="2"/>
  <c r="G12" i="2"/>
  <c r="G7" i="2"/>
</calcChain>
</file>

<file path=xl/sharedStrings.xml><?xml version="1.0" encoding="utf-8"?>
<sst xmlns="http://schemas.openxmlformats.org/spreadsheetml/2006/main" count="11791" uniqueCount="4273">
  <si>
    <t>Otvoreni postupak 
(Okvirni sporazum)</t>
  </si>
  <si>
    <t xml:space="preserve">Evidencijski broj nabave </t>
  </si>
  <si>
    <t>Evidencijski broj nabave</t>
  </si>
  <si>
    <t>Otvoreni postupak 
(Ugovor po Okvirnom sporazumu)</t>
  </si>
  <si>
    <t>Red.
br.</t>
  </si>
  <si>
    <t xml:space="preserve">
Redni broj
</t>
  </si>
  <si>
    <t>KLINIČKI BOLNIČKI CENTAR ZAGREB</t>
  </si>
  <si>
    <t>Predmet ugovora</t>
  </si>
  <si>
    <t>Broj objave</t>
  </si>
  <si>
    <t>Vrsta provedenog postupka javne nabave</t>
  </si>
  <si>
    <t>Naziv ponuditelja s kojim je sklopljen ugovor</t>
  </si>
  <si>
    <t>Iznos sklopljenog iznosa ugovora/okvirnog sporazuma</t>
  </si>
  <si>
    <t>Datum sklapanja i rok na koji je sklopljen ug. o javnoj nabavi</t>
  </si>
  <si>
    <t>Konačni datum isporuke</t>
  </si>
  <si>
    <t>Konačni iznos koji je naručitelj isplatio  temeljem ugovora</t>
  </si>
  <si>
    <t>REGISTAR  UGOVORA O JAVNOJ NABAVI 2016. - LIJEKOVI</t>
  </si>
  <si>
    <t>REGISTAR  UGOVORA O JAVNOJ NABAVI 2016. - MEDICINA I NEMEDICINA</t>
  </si>
  <si>
    <t>Jednogodišnja usluga servisnog održavanja UZV uređaja proizvođača GE Healthcare</t>
  </si>
  <si>
    <t>2.2.2.A.74</t>
  </si>
  <si>
    <t>2015/S 002-0032692</t>
  </si>
  <si>
    <t>Otvoreni postupak nabave</t>
  </si>
  <si>
    <t>MEDICOM d.o.o.</t>
  </si>
  <si>
    <t>19.1.2016
2.1.1.-16/27-1
(1. godina)</t>
  </si>
  <si>
    <t>Jednogodišnja nabava medicinskog potrošnog materijala za potrebe endoskopske kirurgije 2, gr. 1</t>
  </si>
  <si>
    <t>2015/S 002-00330081</t>
  </si>
  <si>
    <t>DOCTUM d.o.o.</t>
  </si>
  <si>
    <t>19.1.2016
2.1.1.-16/23-1
(1. godina)</t>
  </si>
  <si>
    <t>Jednogodišnja nabava medicinskog potrošnog materijala za potrebe endoskopske kirurgije 2, gr. 3</t>
  </si>
  <si>
    <t>19.1.2016
2.1.1.-16/24-1
(1. godina)</t>
  </si>
  <si>
    <t>Jednogodišnja nabava potrošnog materijala za periferni i centralno venski pristup u onkologiji i hematologiji</t>
  </si>
  <si>
    <t>1.1.2.A.40</t>
  </si>
  <si>
    <t>2015/S 002-0031288</t>
  </si>
  <si>
    <t>TEHMED d.o.o.</t>
  </si>
  <si>
    <t>19.1.2016
2.1.1.-16/22-1
(1. godina)</t>
  </si>
  <si>
    <t>Jednogodišnja nabava medicinskog potrošnog materijala za uporabu u ortopediji - ortopedski impantati, gr. 16</t>
  </si>
  <si>
    <t>1.1.2.A.21</t>
  </si>
  <si>
    <t>2015/S 002-0021628</t>
  </si>
  <si>
    <t>ENDOPRO IMPLANTS d.o.o.</t>
  </si>
  <si>
    <t>19.1.2016
2.1.1.-16/17-1
(1. godina)</t>
  </si>
  <si>
    <t>Nabava lijekova - generičke paralele - XII, gr. 3, 4, 13 i 14</t>
  </si>
  <si>
    <t>1.1.A.2.12</t>
  </si>
  <si>
    <t>OKTAL PHARMA d.o.o.</t>
  </si>
  <si>
    <t>19.1.2016
2.1.1.-16/40-1
(6 mjeseci)</t>
  </si>
  <si>
    <t>Jednogodišnja nabava lijekova XVII</t>
  </si>
  <si>
    <t>1.2.A.1</t>
  </si>
  <si>
    <t>MEDIKA d.d.</t>
  </si>
  <si>
    <t>19.1.2016
2.1.1.-16/33-1
(1 godina)</t>
  </si>
  <si>
    <t>Nabava lijekova - generičke paralele - XIV, gr. 2</t>
  </si>
  <si>
    <t>1.1.A.2.14</t>
  </si>
  <si>
    <t>MEDICAL INTERTRADE d.o.o.</t>
  </si>
  <si>
    <t>19.1.2016
2.1.1.-16/32-1
(6 mjeseci)</t>
  </si>
  <si>
    <t>Nabava lijekova - generičke paralele - XI, gr. 24</t>
  </si>
  <si>
    <t>1.1.A.2.11</t>
  </si>
  <si>
    <t>B. BRAUN ADRIA d.o.o.</t>
  </si>
  <si>
    <t>22.1.2016
2.1.1.-16/47-1
(6 mjeseci)</t>
  </si>
  <si>
    <t>Nabava lijekova - generičke paralele - XII, gr. 12</t>
  </si>
  <si>
    <t>19.1.2016
2.1.1.-16/38-1
(6 mjeseci)</t>
  </si>
  <si>
    <t>Nabava lijekova - generičke paralele - XII, 7 i 16</t>
  </si>
  <si>
    <t>19.1.2016
2.1.1.-16/41-1
(6 mjeseci)</t>
  </si>
  <si>
    <t>Jednogodišnja nabava medicinskog potrošnog materijala za potrebe citogenetike, gr. 13</t>
  </si>
  <si>
    <t>1.1.2.A.86</t>
  </si>
  <si>
    <t>2015/S 002-0025003</t>
  </si>
  <si>
    <t>BOMI - LAB d.o.o.</t>
  </si>
  <si>
    <t>19.1.2016
2.1.1.-16/48-1
(1. godina)</t>
  </si>
  <si>
    <t>Jednogodišnja nabava medicinskog potrošnog materijala za elektrofiziologiju srca za potrebe kardiologije , gr. 1</t>
  </si>
  <si>
    <t>1.1.2.A.56</t>
  </si>
  <si>
    <t>2015/S 002-0034174</t>
  </si>
  <si>
    <t>19.1.2016
2.1.1.-16/29-1
(1. godina)</t>
  </si>
  <si>
    <t>Nabava lijekova - generičke paralele - XI, gr. 1, 2, 19, 21, 29 i 30</t>
  </si>
  <si>
    <t>22.1.2016
2.1.1.-16/42-1
(6 mjeseci)</t>
  </si>
  <si>
    <t>22.1.2016
2.1.1.-16/46-1
(6 mjeseci)</t>
  </si>
  <si>
    <t>Nabava lijekova - generičke paralele - XI, gr. 13, 14, 15, 16, 23 i 34</t>
  </si>
  <si>
    <t>Jednogodišnja nabava oksigenatora za potrebe kardijalne kirurgije, gr. 5</t>
  </si>
  <si>
    <t>1.1.2.A.10</t>
  </si>
  <si>
    <t>2015/S 002-0029145</t>
  </si>
  <si>
    <t>MEDICEM - SERVIS d.o.o.</t>
  </si>
  <si>
    <t>19.1.2016
2.1.1.-16/20-1
(1. godina)</t>
  </si>
  <si>
    <t>Jednogodišnja nabava oksigenatora za potrebe kardijalne kirurgije, gr. 1</t>
  </si>
  <si>
    <t>MEDIC d.o.o.</t>
  </si>
  <si>
    <t>19.1.2016
2.1.1.-16/18-1
(1. godina)</t>
  </si>
  <si>
    <t>Nabava radiofarmaceutika za potrebe PET CT-a</t>
  </si>
  <si>
    <t>1.1.2.A.174</t>
  </si>
  <si>
    <t>2015/S 002-0035627</t>
  </si>
  <si>
    <t>SONIMED d.o.o.</t>
  </si>
  <si>
    <t>19.1.2016
2.1.1.-16/28-1
(1. godina)</t>
  </si>
  <si>
    <t>Nabava medicinskog papira i kartona, gr. 6</t>
  </si>
  <si>
    <t>1.1.2.A.31</t>
  </si>
  <si>
    <t>2015/S 002-0034770</t>
  </si>
  <si>
    <t>MEDIX - RAY d.o.o.</t>
  </si>
  <si>
    <t>18.1.2016
2.1.1.-16/21-1
(1. godina)</t>
  </si>
  <si>
    <t>Jednogodišnja nabava oksigenatora za potrebe kardijalne kirurgije, gr. 4</t>
  </si>
  <si>
    <t>BOSTON MEDICAL d.o.o.</t>
  </si>
  <si>
    <t>19.1.2016
2.1.1.-16/19-1
(1. godina)</t>
  </si>
  <si>
    <t>Nabava respiratora za visokofrekventnu oscilacijsku ventilaciju novorođenčadi</t>
  </si>
  <si>
    <t>5.1.A5/1.3</t>
  </si>
  <si>
    <t>2015/S 002-0036186</t>
  </si>
  <si>
    <t>MEDIAL d.o.o.</t>
  </si>
  <si>
    <t xml:space="preserve">19.1.2016
2.1.1.-16/26-1
</t>
  </si>
  <si>
    <t>Jednogodišnja nabava srčanih zalistaka za potrebe kardijalne kirurgije, gr. 5</t>
  </si>
  <si>
    <t>1.1.2.A.9</t>
  </si>
  <si>
    <t>2015/S 002-0029277</t>
  </si>
  <si>
    <t>25.1.2016
2.1.1.-16/60-1
(1. godina)</t>
  </si>
  <si>
    <t>Nabava lijekova - XXXII</t>
  </si>
  <si>
    <t>1.1.A.34</t>
  </si>
  <si>
    <t>27.1.2016
2.1.1.-16/73-1
(6 mjeseci)</t>
  </si>
  <si>
    <t>Nabava lijekova - generičke paralele - I, gr. 15</t>
  </si>
  <si>
    <t>1.1.A.2.1</t>
  </si>
  <si>
    <t>CIPLA CROATIA d.o.o.</t>
  </si>
  <si>
    <t>25.1.2016
2.1.1.-16/65-1
(6 mjeseci)</t>
  </si>
  <si>
    <t>Nabava lijekova - generičke paralele - I, gr. 10, 11, 51, 54, 56 i 57</t>
  </si>
  <si>
    <t>25.1.2016
2.1.1.-16/64-1
(6 mjeseci)</t>
  </si>
  <si>
    <t>1.1.A.2.8</t>
  </si>
  <si>
    <t>27.1.2016
2.1.1.-16/76-1
(6 mjeseci)</t>
  </si>
  <si>
    <t>Nabava lijekova  - generičke paralele - VIII, gr. 5, 8, 9 i 29</t>
  </si>
  <si>
    <t>Nabava lijekova  - generičke paralele - VIII, gr. 3, 6, 7, 19 i 21</t>
  </si>
  <si>
    <t>27.1.2016
2.1.1.-16/78-1
(6 mjeseci)</t>
  </si>
  <si>
    <t>Nabava lijekova  - generičke paralele - VIII, gr. 1, 11, 15, 16, 17, 18, 20, 22, 23, 24 i 32</t>
  </si>
  <si>
    <t>27.1.2016
2.1.1.-16/74-1
(6 mjeseci)</t>
  </si>
  <si>
    <t>Nabava lijekova  - generičke paralele - IX, gr. 1, 2, 3, 12, 13, 27 i 31</t>
  </si>
  <si>
    <t>1.1.A.2.9</t>
  </si>
  <si>
    <t>27.1.2016
2.1.1.-16/70-1
(6 mjeseci)</t>
  </si>
  <si>
    <t>Nabava lijekova  - generičke paralele - X, gr. 5, 11, 16, 17, 19, 28, 31 i 38</t>
  </si>
  <si>
    <t>1.1.A.2.10</t>
  </si>
  <si>
    <t>27.1.2016
2.1.1.-16/81-1
(6 mjeseci)</t>
  </si>
  <si>
    <t>Nabava lijekova  - generičke paralele - X, gr. 8, 9, 10, 12, 13, 15, 18, 20, 21, 22, 24, 25, 26, 30, 32, 33, 34, 37, 40, 47, 49 i 51</t>
  </si>
  <si>
    <t>27.1.2016
2.1.1.-16/80-1
(6 mjeseci)</t>
  </si>
  <si>
    <t>Nabava lijekova  - generičke paralele - X, gr. 46</t>
  </si>
  <si>
    <t>27.1.2016
2.1.1.-16/83-1
(6 mjeseci)</t>
  </si>
  <si>
    <t>Nabava lijekova - generičke paralele - XI, gr. 9 i 26</t>
  </si>
  <si>
    <t>22.1.2016
2.1.1.-16/45-1
(6 mjeseci)</t>
  </si>
  <si>
    <t>Nabava lijekova - generičke paralele - XI, gr. 3</t>
  </si>
  <si>
    <t>ROCHE d.o.o.</t>
  </si>
  <si>
    <t>22.1.2016
2.1.1.-16/43-1
(6 mjeseci)</t>
  </si>
  <si>
    <t>Jednogodišnja nabava srčanih zalistaka za potrebe kardijalne kirurgije, gr. 1</t>
  </si>
  <si>
    <t>DIAMED d.o.o.</t>
  </si>
  <si>
    <t>25.1.2016
2.1.1.-16/58-1
(1. godina)</t>
  </si>
  <si>
    <t>Nabava nastavaka za pipete i najma pipeta za potrebe laboratorijske dijagnostike - I</t>
  </si>
  <si>
    <t>1.1.2.A.102</t>
  </si>
  <si>
    <t>INEL - MEDICINSKA TEHNIKA d.o.o.</t>
  </si>
  <si>
    <t>25.1.2016
2.1.1.-16/84-1
(2. godine)</t>
  </si>
  <si>
    <t>Jednogodišnja nabava nastavaka za pipete i najma pipeta za potrebe laboratorijske dijagnostike - I</t>
  </si>
  <si>
    <t>2015/S 002-0035409</t>
  </si>
  <si>
    <t>26.1.2016
2.1.1.-16/84-2
(2. godine)</t>
  </si>
  <si>
    <t>Nabava lijekova - generičke paralele - XVI</t>
  </si>
  <si>
    <t>1.1.A.18</t>
  </si>
  <si>
    <t>22.1.2016
2.1.1.-16/50-1
(4 mjeseca)</t>
  </si>
  <si>
    <t>PHOENIX FARMACIJA d.d.</t>
  </si>
  <si>
    <t>Nabava lijekova  - generičke paralele - VIII, gr. 2, 13, 30 i 31</t>
  </si>
  <si>
    <t>PHARMAS d.o.o.</t>
  </si>
  <si>
    <t>27.1.2016
2.1.1.-16/77-1
(6 mjeseci)</t>
  </si>
  <si>
    <t>Nabava lijekova - generičke paralele - XI, gr. 25 i 28</t>
  </si>
  <si>
    <t>22.1.2016
2.1.1.-16/49-1
(6 mjeseci)</t>
  </si>
  <si>
    <t>Nabava lijekova - generičke paralele - XII, gr. 2</t>
  </si>
  <si>
    <t>19.1.2016
2.1.1.-16/39-1
(6 mjeseci)</t>
  </si>
  <si>
    <t>Nabava lijekova - XVIII</t>
  </si>
  <si>
    <t>1.1.A.20</t>
  </si>
  <si>
    <t>27.1.2016
2.1.1.-16/85-1
(6 mjeseci)</t>
  </si>
  <si>
    <t>Nabava lijekova  - generičke paralele - VIII, gr. 25</t>
  </si>
  <si>
    <t>27.1.2016
2.1.1.-16/79-1
(6 mjeseci)</t>
  </si>
  <si>
    <t>Nabava lijekova  - generičke paralele - IX, gr. 4, 10, 11, 28 i 30</t>
  </si>
  <si>
    <t>27.1.2016
2.1.1.-16/71-1
(6 mjeseci)</t>
  </si>
  <si>
    <t>Jednogodišnja nabava srčanih zalistaka za potrebe kardijalne kirurgije, gr. 2</t>
  </si>
  <si>
    <t>25.1.2016
2.1.1.-16/59-1
(1. godina)</t>
  </si>
  <si>
    <t>Nabava medicinskog potrošnog materijala za potrebe onkologije - potrepštine za radioterapiju, gr. 5</t>
  </si>
  <si>
    <t>1.1.2.A.35</t>
  </si>
  <si>
    <t>2015/S 002-0034936</t>
  </si>
  <si>
    <t>EUROKONTAKT d.o.o.</t>
  </si>
  <si>
    <t>25.1.2016
2.1.1.-16/57-1
(9. mjeseci)</t>
  </si>
  <si>
    <t>1.1.2.A.172</t>
  </si>
  <si>
    <t>20.1.2016
2.1.1.-16/132-1
(1. godina)</t>
  </si>
  <si>
    <t>Jednogodišnja nabava medicinskog potrošnog materijala za potrebe mikrobiologije - II, gr. IV</t>
  </si>
  <si>
    <t>Jednogodišnja nabava medicinskog potrošnog materijala za potrebe mikrobiologije - II, gr. VIII</t>
  </si>
  <si>
    <t>20.1.2016
2.1.1.-16/135-1
(1. godina)</t>
  </si>
  <si>
    <t>Jednogodišnja nabava medicinskih regulatora i pribora, gr. I, II i III</t>
  </si>
  <si>
    <t>5.1.A5/3.3</t>
  </si>
  <si>
    <t>UTP d.o.o.</t>
  </si>
  <si>
    <t>27.1.2016
2.1.1.-16/69-1
(1. godina)</t>
  </si>
  <si>
    <t>2015/S 002-0033543</t>
  </si>
  <si>
    <t>1.1.2.A.34</t>
  </si>
  <si>
    <t>Jednogodišnja nabava medicinskog potrošnog materijala za potrebe endoskopske kirurgije, gr. 55, 56, 56a, 64, 70 i 70a</t>
  </si>
  <si>
    <t>2015/S 002-0026681</t>
  </si>
  <si>
    <t>1.2.2016
2.1.1.-16/92-1
(1. godina)</t>
  </si>
  <si>
    <t>Nabava lijekova - generičke paralele - I, gr. 16 i 49</t>
  </si>
  <si>
    <t>25.1.2016
2.1.1.-16/66-1
(6 mjeseci)</t>
  </si>
  <si>
    <t>Nabava lijekova - generičke paralele - I, gr. 1, 2, 3, 4, 5, 6, 12, 14,17, 18, 25, 26, 27, 43, 47, 50, 55, 58 I 59</t>
  </si>
  <si>
    <t>25.1.2016
2.1.1.-16/62-1
(6 mjeseci)</t>
  </si>
  <si>
    <t>Nabava lijekova - generičke paralele - I, gr. 22, 23, 29, 38 i 39</t>
  </si>
  <si>
    <t>25.1.2016
2.1.1.-16/67-1
(6 mjeseci)</t>
  </si>
  <si>
    <t>Nabava lijekova - generičke paralele - XII, gr. 8, 9, 10, 11, 15, 18 i 19</t>
  </si>
  <si>
    <t>19.1.2016
2.1.1.-16/37-1
(6 mjeseci)</t>
  </si>
  <si>
    <t>Nabava lijekova  - generičke paralele - IX, gr. 5, 6, 7, 8, 9, 14, 15, 16, 19, 22, 23 i 25</t>
  </si>
  <si>
    <t>27.1.2016
2.1.1.-16/72-1
(6 mjeseci)</t>
  </si>
  <si>
    <t>Nabava lijekova  - generičke paralele - X, gr. 2, 3, 4, 6, 7, 23, 27, 29, 35, 36, 39, 41, 42, 43, 44, 45 48 i 50</t>
  </si>
  <si>
    <t>27.1.2016
2.1.1.-16/82-1
(6 mjeseci)</t>
  </si>
  <si>
    <t>Nabava lijekova  - generičke paralele - VIII, gr. 4, 10, 12, 14, 26 i 28</t>
  </si>
  <si>
    <t>27.1.2016
2.1.1.-16/75-1
(6 mjeseci)</t>
  </si>
  <si>
    <t>Nabava lijekova - generičke paralele - XI, gr. 5, 6, 7, 10, 11, 17, 18, 20, 31, 32 i 33</t>
  </si>
  <si>
    <t>22.1.2016
2.1.1.-16/44-1
(6 mjeseci)</t>
  </si>
  <si>
    <t>Nabava lijekova-generičke paralele-I,gr.7,8,9,13,19,20,21,24,28,33,41,48,52 i 53</t>
  </si>
  <si>
    <t>Nabava lijekova-X</t>
  </si>
  <si>
    <t>1.2.2016 2.1.1.-16/148-1 (6 mjeseci)</t>
  </si>
  <si>
    <t>Nabava lijekova-V</t>
  </si>
  <si>
    <t>1.1.A.7</t>
  </si>
  <si>
    <t>1.1.A.12</t>
  </si>
  <si>
    <t>Jednogodišnja nabava medicinskog potrošnog materijala za potrebe kardijalne kirurgije, gr. XVII</t>
  </si>
  <si>
    <t>1.1.2.A.8</t>
  </si>
  <si>
    <t>2015/S 002-0029241</t>
  </si>
  <si>
    <t>1.2.2016
2.1.1.-16/107-1
(1. godina)</t>
  </si>
  <si>
    <t>Jednogodišnja nabava medicinskog potrošnog materijala za potrebe kardijalne kirurgije, gr. VII, XV</t>
  </si>
  <si>
    <t>01.02.2016
2.1.1.-16/103-1
(1. godina)</t>
  </si>
  <si>
    <t>Jednogodišnja nabava medicinskog potrošnog materijala za potrebe kardijalne kirurgije, gr. IV</t>
  </si>
  <si>
    <t>B.BRAUN ADRIA d.o.o.</t>
  </si>
  <si>
    <t>Jednogodišnja nabava medicinskog potrošnog materijala za potrebe kardijalne kirurgije, gr. I</t>
  </si>
  <si>
    <t>01.02.2016
2.1.1.-16/102-1
(1. godina)</t>
  </si>
  <si>
    <t>01.02.2016
2.1.1.-16/100-1
(1. godina)</t>
  </si>
  <si>
    <t>Jednogodišnja nabava medicinskog potrošnog materijala za potrebe kardijalne kirurgije, gr. XI, XVI</t>
  </si>
  <si>
    <t>01.02.2016
2.1.1.-16/105-1
(1. godina)</t>
  </si>
  <si>
    <t>Jednogodišnja nabava medicinskog potrošnog materijala za potrebe endoskopske kirurgije, gr. 47,49, 65, 65a</t>
  </si>
  <si>
    <t>ENDO-FLEX d.o.o.</t>
  </si>
  <si>
    <t>01.02.2016
2.1.1.-16/93-1
(1. godina)</t>
  </si>
  <si>
    <t>Jednogodišnja nabava medicinskog potrošnog materijala za potrebe endoskopske kirurgije, gr. 66</t>
  </si>
  <si>
    <t>01.02.2016
2.1.1.-16/90-1
(1. godina)</t>
  </si>
  <si>
    <t>1.1.2.A.1</t>
  </si>
  <si>
    <t>Jednogodišnja nabava vaskularnih proteza za potrebe vaskularne kirurgije, gr. II i  III</t>
  </si>
  <si>
    <t>2015/S002-0035763</t>
  </si>
  <si>
    <t>01.02.2016
2.1.1.-16/156-1
(1. godina)</t>
  </si>
  <si>
    <t>Jednogodišnja nabava medicinskog potrošnog materijala za potrebe endoskopske kirurgije, gr. 69 i 71</t>
  </si>
  <si>
    <t>JOHNSON&amp;JOHNSON S.E. d.o.o.</t>
  </si>
  <si>
    <t>01.02.2016
2.1.1.-16/96-1
(1. godina)</t>
  </si>
  <si>
    <t>Jednogodišnja nabava medicinskog potrošnog materijala za potrebe endoskopske kirurgije, gr. 61</t>
  </si>
  <si>
    <t>MA-CO PLAST d.o.o.</t>
  </si>
  <si>
    <t>01.02.2016
2.1.1.-16/97-1
(1. godina)</t>
  </si>
  <si>
    <t>Jednogodišnja nabava medicinskog potrošnog materijala za potrebe endoskopske kirurgije, gr. 17, 18 i 18a</t>
  </si>
  <si>
    <t>ICEBERG INTERNATIONALTRADING d.o.o.</t>
  </si>
  <si>
    <t>01.02.2016
2.1.1.-16/150-1
(1. godina)</t>
  </si>
  <si>
    <t>Jednogodišnja nabava medicinskog potrošnog materijala za potrebe endoskopske kirurgije, gr. 11,12,30 i 31</t>
  </si>
  <si>
    <t>01.02.2016
2.1.1.-16/88-1
(1. godina)</t>
  </si>
  <si>
    <t>Jednogodišnja nabava medicinskog potrošnog materijala za potrebe endoskopske kirurgije, gr. 15,20 i 21</t>
  </si>
  <si>
    <t>01.02.2016
2.1.1.-16/152-1
(1. godina)</t>
  </si>
  <si>
    <t>Jednogodišnja nabava medicinskog potrošnog materijala za potrebe endoskopske kirurgije, gr. 8,10,24,34 i 53</t>
  </si>
  <si>
    <t>VELMED d.o.o.</t>
  </si>
  <si>
    <t>01.02.2016
2.1.1.-16/87-1
(1. godina)</t>
  </si>
  <si>
    <t>Jednogodišnja nabava medicinskog potrošnog materijala za potrebe endoskopske kirurgije, gr. 32</t>
  </si>
  <si>
    <t>01.02.2016
2.1.1.-16/95-1
(1. godina)</t>
  </si>
  <si>
    <t>Jednogodišnja nabava medicinskog potrošnog materijala za potrebe endoskopske kirurgije, gr. 16 i 19</t>
  </si>
  <si>
    <t>01.02.2016
2.1.1.-16/153-1
(1. godina)</t>
  </si>
  <si>
    <t>5.1.A5/3.7</t>
  </si>
  <si>
    <t>Nabava elektrokirurškog ultrazvučnog generatora s pripadajućim priborom</t>
  </si>
  <si>
    <t>2015/S002 0032550</t>
  </si>
  <si>
    <t>OLYMPUS d.o.o.</t>
  </si>
  <si>
    <t xml:space="preserve">03.02.2016
2.1.1.-16/162-1
</t>
  </si>
  <si>
    <t>2.2.2.B.122</t>
  </si>
  <si>
    <t>2.2.2.B.123</t>
  </si>
  <si>
    <t>Bagatelna nabava</t>
  </si>
  <si>
    <t>Jednogodišnja usluga servisnog održavanja kotlovnica i plamenika na lokacijama KBC-a Zagreb, gr. 1</t>
  </si>
  <si>
    <t>Jednogodišnja usluga servisnog održavanja kotlovnica i plamenika na lokacijama KBC-a Zagreb, gr. 2,3,4</t>
  </si>
  <si>
    <t>Obrt za serviis plamenika i elektronike PERKOVIĆ</t>
  </si>
  <si>
    <t>ZRIN d.o.o.</t>
  </si>
  <si>
    <t>01.02.2016
2.1.1.-16/158-1
(1. godina)</t>
  </si>
  <si>
    <t>01.02.2016
2.1.1.-16/159-1
(1. godina)</t>
  </si>
  <si>
    <t>Jednogodišnja nabava srčanih zalistaka za potrebe kardijalne kirurgije, gr. VI</t>
  </si>
  <si>
    <t>KLINIMED d.o.o.</t>
  </si>
  <si>
    <t>25.01.2016
2.1.1.-16/61-1
(1. godina)</t>
  </si>
  <si>
    <t>2015/S 002-0035763</t>
  </si>
  <si>
    <t>Jednogodišnja nabava vaskularnih proteza za potrebe vaskularne kirurgije, gr. I,IV, i V</t>
  </si>
  <si>
    <t>01.02.2016
2.1.1.-16/155-1
(1. godina)</t>
  </si>
  <si>
    <t>Jednogodišnja usluga prijevoza anatomskog otpada uključujući sanduk potreban za transport i prijevoz pokojnika</t>
  </si>
  <si>
    <t>2.1.3.B.1</t>
  </si>
  <si>
    <t>"LUCIĆ" OBRT ZA POGREBNE USLUGE I TRGOVINU</t>
  </si>
  <si>
    <t>16.02.2016
2.1.1.-16/180-1
(1. godina)</t>
  </si>
  <si>
    <t>Jednogodišnja nabava med.potr.mat.za potrebe kardijalne kirurgije, GR.3</t>
  </si>
  <si>
    <t>01.02.2016
2.1.1.-16/101-1
(1. godina)</t>
  </si>
  <si>
    <t>1.4.1.B.37</t>
  </si>
  <si>
    <t>Elektrode za uređaje za plinsku analizu ABL5</t>
  </si>
  <si>
    <t>RADIOMETER d.o.o.</t>
  </si>
  <si>
    <t>19.02.2016
2.1.1.-16/166-1</t>
  </si>
  <si>
    <t>1.1.2.B.24</t>
  </si>
  <si>
    <t>Jednogodišnja nabava medicinskog potrošnog materijala za rekonstrukciju defekta kranija-3D</t>
  </si>
  <si>
    <t>MEDICAL 3D DESING d.o.o.</t>
  </si>
  <si>
    <t>22.02.2016
2.1.1.-16/177-1
(1. godina)</t>
  </si>
  <si>
    <t>Nabava lijekova-XXIV</t>
  </si>
  <si>
    <t>1.1.A.26</t>
  </si>
  <si>
    <t>23.2.2016 2.1.1.-16/176-1 (6 mjeseci)</t>
  </si>
  <si>
    <t>Nabava lijekova-XIV, GR. 2</t>
  </si>
  <si>
    <t>1.1.A.16</t>
  </si>
  <si>
    <t>22.2.2016 2.1.1.-16/173-1 (6 mjeseci)</t>
  </si>
  <si>
    <t>Jednogodišnja usluga servisog održavanja Blatexa, gr. 1</t>
  </si>
  <si>
    <t>2.2.2.B.5</t>
  </si>
  <si>
    <t>ALFAMEDIC d.o.o.</t>
  </si>
  <si>
    <t>23.02.2016
2.1.1.-16/168-1
(1. godina)</t>
  </si>
  <si>
    <t>Jednogodišnja usluga servisog održavanja Blatexa, gr. 4</t>
  </si>
  <si>
    <t>2.2.2.B.6</t>
  </si>
  <si>
    <t>23.02.2016
2.1.1.-16/171-1
(1. godina)</t>
  </si>
  <si>
    <t>Jednogodišnja usluga servisnog održavanja bolesničkih kreveta, noćnih ormarića i kolica za prijevoz pacijenata proizvođača Linet</t>
  </si>
  <si>
    <t>PANON TRADE d.o.o.</t>
  </si>
  <si>
    <t>04.03.2016
2.1.1.-16/178-1
(1. godina)</t>
  </si>
  <si>
    <t>Jednogodišnja nabava medicinskog potrošnog materijala za potrebe kirurgije, gr. 8</t>
  </si>
  <si>
    <t>1.1.2.A.28</t>
  </si>
  <si>
    <t>25.02.2016
2.1.1.-16/165-1
(1. godina)</t>
  </si>
  <si>
    <t>Ugovor za jednogodišnju uslugu servisa i baždarenja tlakomjera</t>
  </si>
  <si>
    <t>2.2.2.B.84</t>
  </si>
  <si>
    <t>ŠTIMRAD d.o.o.</t>
  </si>
  <si>
    <t>05.03.2016
2.1.1.-16/179-1
(1. godina)</t>
  </si>
  <si>
    <t>23.2.2016 2.1.1.-16/176-4 (6 mjeseci)</t>
  </si>
  <si>
    <t>23.2.2016 2.1.1.-16/176-2 (6 mjeseci)</t>
  </si>
  <si>
    <t>Nabava lijekova - generičke paralele- I, gr.32</t>
  </si>
  <si>
    <t>1.1.A.2.1.</t>
  </si>
  <si>
    <t>AGMAR d.o.o.</t>
  </si>
  <si>
    <t>22.2.2016 2.1.1.-16/167-1 (6 mjeseci)</t>
  </si>
  <si>
    <t>Ugovor za jednogodišnju uslugu servisnog održavanja blatexa, gr.3</t>
  </si>
  <si>
    <t>23.02.2016
2.1.1.-16/170-1
(1. godina)</t>
  </si>
  <si>
    <t>Ugovor za jednogodišnju uslugu servisnog održavanja blatexa, gr.2</t>
  </si>
  <si>
    <t>MEDIS el. Servis</t>
  </si>
  <si>
    <t>23.02.2016
2.1.1.-16/169-1
(1. godina)</t>
  </si>
  <si>
    <t>Ugovor za jednogodišnju nabavu kirurških implantanata za potrebe plastične kirurgije, gr. 3</t>
  </si>
  <si>
    <t>1.1.2.A.182</t>
  </si>
  <si>
    <t>2015/S 002-0032362</t>
  </si>
  <si>
    <t>SANYKO d.o.o.</t>
  </si>
  <si>
    <t>15.02.2016
2.1.1.-16/172-1
(1. godina)</t>
  </si>
  <si>
    <t>Ugovor za godišnji servis uređaja za izvantjelesni krvotok i uređaja za grijanje i hlađenje krvi proizvođača Stockert</t>
  </si>
  <si>
    <t>2.2.2.B.113</t>
  </si>
  <si>
    <t>23.02.2016
2.1.1.-16/175-1
(1. godina)</t>
  </si>
  <si>
    <t>Nabava lijekova-IV</t>
  </si>
  <si>
    <t>1.1.A.6</t>
  </si>
  <si>
    <t>29.1.2016 2.1.1.-16/141-1 (6 mjeseci)</t>
  </si>
  <si>
    <t>Jednogodišnja nabava prekrivača za grijanje tijela za operacijski stol, gr. I</t>
  </si>
  <si>
    <t>1.1.2.B.35</t>
  </si>
  <si>
    <t>29.02.2016
2.1.1.-16/185-1
(1. godina)</t>
  </si>
  <si>
    <t>Jednogodišnja nabava medicinskog potrošnog materijala za potrebe citogenetike, gr. 6</t>
  </si>
  <si>
    <t>1.1.2.B.86</t>
  </si>
  <si>
    <t>2015/S002-0025003</t>
  </si>
  <si>
    <t>BIOMEDICA DIJAGNOSTIKA d.o.o.</t>
  </si>
  <si>
    <t>01.02.2016
2.1.1.-16/161-1
(1. godina)</t>
  </si>
  <si>
    <t>Jednogodišnja nabava medicinskog potrošnog materijala za potrebe mikrobiologije-II, gr. 7</t>
  </si>
  <si>
    <t>20.01.2016
2.1.1.-16/137-1
(1. godina)</t>
  </si>
  <si>
    <t>Jednogodišnja nabava medicinskog potrošnog materijala za potrebe mikrobiologije-II, gr. 9</t>
  </si>
  <si>
    <t>BIOGEN d.o.o.</t>
  </si>
  <si>
    <t>20.01.2016
2.1.1.-16/138-1
(1. godina)</t>
  </si>
  <si>
    <t>Jednogodišnja nabava medicinskog potrošnog materijala za potrebe mikrobiologije-II, gr. 1</t>
  </si>
  <si>
    <t>ANSAR - ANALITIKA d.o.o.</t>
  </si>
  <si>
    <t>20.01.2016
2.1.1.-16/129-1
(1. godina)</t>
  </si>
  <si>
    <t>Jednogodišnja nabava medicinskog potrošnog materijala za potrebe mikrobiologije-II, gr. 2</t>
  </si>
  <si>
    <t>20.01.2016
2.1.1.-16/130-1
(1. godina)</t>
  </si>
  <si>
    <t>Jednogodišnja nabava medicinskog potrošnog materijala za potrebe mikrobiologije-II, gr. 5</t>
  </si>
  <si>
    <t>A &amp; B d.o.o.</t>
  </si>
  <si>
    <t>20.01.2016
2.1.1.-16/133-1
(1. godina)</t>
  </si>
  <si>
    <t>Jednogodišnja nabava medicinskog potrošnog materijala za potrebe mikrobiologije-II, gr. 6</t>
  </si>
  <si>
    <t>HOSPITALIJA TRGOVINA d.o.o.</t>
  </si>
  <si>
    <t>20.01.2016
2.1.1.-16/134-1
(1. godina)</t>
  </si>
  <si>
    <t>Jednogodišnja nabava medicinskog potrošnog materijala za potrebe mikrobiologije-II, gr. 3</t>
  </si>
  <si>
    <t>20.01.2016
2.1.1.-16/131-1
(1. godina)</t>
  </si>
  <si>
    <t>Jednogodišnja nabava eeg kapa i pribora, gr.1</t>
  </si>
  <si>
    <t>1.1.2.B.34</t>
  </si>
  <si>
    <t>PAMEL d.o.o.</t>
  </si>
  <si>
    <t>23.02.2016
2.1.1.-16/181-1
(1. godina)</t>
  </si>
  <si>
    <t>Jednogodišnja nabava prekrivača za grijanje tijela za operacijski stol, gr. 3</t>
  </si>
  <si>
    <t>PHARMAMED MADO d.o.o.</t>
  </si>
  <si>
    <t>29.02.2016
2.1.1.-16/187-1
(1. godina)</t>
  </si>
  <si>
    <t>Jednogodišnja nabava reagensa i testova za potrebe laboratorijske dijagnostike XII, gr. IV</t>
  </si>
  <si>
    <t>1.1.2.A.89</t>
  </si>
  <si>
    <t>2014/S 002-0042842</t>
  </si>
  <si>
    <t>15.02.2016
2.1.1.-16/191-1
(1. godina)</t>
  </si>
  <si>
    <t>2015/S 002-0036534</t>
  </si>
  <si>
    <t>25.02.2016
2.1.1.-16/164-1
(6 mjeseci)</t>
  </si>
  <si>
    <t>Nabava medicinskog potrošnog materijala za potrebe kirurgije, gr. 5</t>
  </si>
  <si>
    <t>Jednogodišnja nabava prekrivača za grijanje tijela za operacijski stol, gr. 2</t>
  </si>
  <si>
    <t>29.02.2016
2.1.1.-16/186-1
(1. godina)</t>
  </si>
  <si>
    <t>Jednogodišnja nabava reagensa i testova za potrebe laboratorijske dijagnostike XII, gr. VIII</t>
  </si>
  <si>
    <t>POLOPLUS d.o.o.</t>
  </si>
  <si>
    <t>15.02.2016
2.1.1.-16/195-1
(1. godina)</t>
  </si>
  <si>
    <t>2.2.1.B.1.</t>
  </si>
  <si>
    <t>22.02.2016
2.1.1.-16/184-1
(1. godina)</t>
  </si>
  <si>
    <t>Jednogodišnja nabava medicinskog potrošnog materijala za potrebe mikrobiologije-I, gr. XXVI</t>
  </si>
  <si>
    <t>1.1.2.A.169</t>
  </si>
  <si>
    <t>2015/S002-0036440</t>
  </si>
  <si>
    <t>A&amp;B d.o.o.</t>
  </si>
  <si>
    <t>01.03.2016
2.1.1.-16/253-1
(1. godina)</t>
  </si>
  <si>
    <t>Nabava UZV uređaja za neuronavigaciju</t>
  </si>
  <si>
    <t>5.1.A5/3.16</t>
  </si>
  <si>
    <t>2015/S 002-0038684</t>
  </si>
  <si>
    <t xml:space="preserve">10.03.2016
2.1.1.-16/272-2
</t>
  </si>
  <si>
    <t>Jednogodišnja nabava reagensa i testova za potrebe laboratorijske dijagnostike XII, gr. 1</t>
  </si>
  <si>
    <t>1.1.2.A.100</t>
  </si>
  <si>
    <t>15.02.2016
2.1.1.-16/188-1
(1. godina)</t>
  </si>
  <si>
    <t>Jednogodišnja nabava reagensa i testova za potrebe laboratorijske dijagnostike XII, gr. 3</t>
  </si>
  <si>
    <t>H.K.O. d.o.o.</t>
  </si>
  <si>
    <t>15.02.2016
2.1.1.-16/190-1
(1. godina)</t>
  </si>
  <si>
    <t>Jednogodišnja nabava reagensa i testova za potrebe laboratorijske dijagnostike XII, gr. 2</t>
  </si>
  <si>
    <t>15.02.2016
2.1.1.-16/189-1
(1. godina)</t>
  </si>
  <si>
    <t>Jednogodišnja nabava reagensa i testova za potrebe laboratorijske dijagnostike XII, gr. 9</t>
  </si>
  <si>
    <t>MEDI - LAB d.o.o.</t>
  </si>
  <si>
    <t>15.02.2016
2.1.1.-16/196-1
(1. godina)</t>
  </si>
  <si>
    <t>Jednogodišnja nabava reagensa i testova za potrebe laboratorijske dijagnostike XII, gr. 5</t>
  </si>
  <si>
    <t>15.02.2016
2.1.1.-16/192-1
(1. godina)</t>
  </si>
  <si>
    <t>Jednogodišnja nabava medicinskog potrošnog materijala za mikrobiologiju I, gr. 24</t>
  </si>
  <si>
    <t>01.03.2016
2.1.1.-16/252-1
(1. godina)</t>
  </si>
  <si>
    <t>Jednogodišnja nabava medicinskog potrošnog materijala za mikrobiologiju I, gr. 23 i 25</t>
  </si>
  <si>
    <t>01.03.2016
2.1.1.-16/200-1
(1. godina)</t>
  </si>
  <si>
    <t>Jednogodišnja nabava eeg kapa i pribora, gr.2</t>
  </si>
  <si>
    <t>1.2.B.34</t>
  </si>
  <si>
    <t>ELEKTRONIČAR d.o.o.</t>
  </si>
  <si>
    <t>23.02.2016
2.1.1.-16/182-1
(1. godina)</t>
  </si>
  <si>
    <t>Jednogodišnja nabava guma za vozila, remenja i maziva za potrebe KBC-a Zagreb, gr. 1</t>
  </si>
  <si>
    <t>1.5.B.73</t>
  </si>
  <si>
    <t>VULKAL d.o.o.</t>
  </si>
  <si>
    <t>29.2.2017</t>
  </si>
  <si>
    <t>29.02.2016
2.1.1.-16/254-1
(1. godina)</t>
  </si>
  <si>
    <t>Jednogodišnja nabava medicinskog potrošnog materijala za liječenje bubrega - za uporabu u urologiji, gr. 19 i 17</t>
  </si>
  <si>
    <t>1.1.2.A.150</t>
  </si>
  <si>
    <t>07.03.2016
2.1.1.-16/267-1
(1. godina)</t>
  </si>
  <si>
    <t>Jednogodišnja nabava medicinskog potrošnog materijala za liječenje bubrega - za uporabu u urologiji, gr. 5</t>
  </si>
  <si>
    <t>MEDITEX vl. Robert Črnjević</t>
  </si>
  <si>
    <t>07.03.2016
2.1.1.-16/258-1
(1. godina)</t>
  </si>
  <si>
    <t>Jednogodišnja nabava medicinskog potrošnog materijala za liječenje bubrega - za uporabu u urologiji, gr. 15</t>
  </si>
  <si>
    <t>07.03.2016
2.1.1.-16/266-1
(1. godina)</t>
  </si>
  <si>
    <t>Jednogodišnja nabava medicinskog potrošnog materijala za mikrobiologiju-I, gr.</t>
  </si>
  <si>
    <t>1..2.A.169</t>
  </si>
  <si>
    <t>LABOMAR d.o.o.</t>
  </si>
  <si>
    <t>01.03.2016
2.1.1.-16/199-1
(1. godina)</t>
  </si>
  <si>
    <t>Jednogodišnja nabava višektatnog potrošnog materijala i pribora za potrebe oftalmologije, gr. 3</t>
  </si>
  <si>
    <t>1.1.2.A.118</t>
  </si>
  <si>
    <t>2015/S 002-0036722</t>
  </si>
  <si>
    <t>2015/S 002-0036440</t>
  </si>
  <si>
    <t>2015/ 002-0034879</t>
  </si>
  <si>
    <t>Jednogodišnja nabava reagensa i testova za potrebe laboratorijske dijagnostike- XII, gr. 6</t>
  </si>
  <si>
    <t>BECKMAN COULTER d.o.o.</t>
  </si>
  <si>
    <t>15.02.2016
2.1.1.-16/193-1
(1. godina)</t>
  </si>
  <si>
    <t>Jednogodišnja nabava intergrirane usluge računalnog ispisa (IURIS)</t>
  </si>
  <si>
    <t>2.8.A.6</t>
  </si>
  <si>
    <t>SENSO PROFI d.o.o.</t>
  </si>
  <si>
    <t>11.03.2016
2.1.1.-16/273-2
(1. godina)</t>
  </si>
  <si>
    <t>11.3.2017,</t>
  </si>
  <si>
    <t>Jednogodišna nabava medicinskog potrošnog materijala za liječenje bubrega - za uporabu u urologiji, gr. 9</t>
  </si>
  <si>
    <t>1.1.2.A. 150</t>
  </si>
  <si>
    <t>2015/S 002-0034879</t>
  </si>
  <si>
    <t>07.03.2016
2.1.1.-16/260-1
(1. godina)</t>
  </si>
  <si>
    <t>Nabava lijekova-II</t>
  </si>
  <si>
    <t>1.1.A.4</t>
  </si>
  <si>
    <t>1.2.2016 
2.1.1.-16/148-1 (6 mjeseci)</t>
  </si>
  <si>
    <t>25.1.2016. 
2.1.1.-16/63-1 
(6 mjeseci)</t>
  </si>
  <si>
    <t>7.3..2016 
2.1.1.-16/256-1 
(6 mjeseci)</t>
  </si>
  <si>
    <t>Jednogodišnja nabava medicinskog potrošnog materijala za liječenje bubrega - za uporabu u urologiji, gr. 6</t>
  </si>
  <si>
    <t>07.03.2016
2.1.1.-16/259-1
(1. godina)</t>
  </si>
  <si>
    <t>Jednogodišnja nabava medicinskog potrošnog materijala za mikrobiologiju I, gr. 2,4 i 10</t>
  </si>
  <si>
    <t>01.03.2016
2.1.1.-16/198-1
(1. godina)</t>
  </si>
  <si>
    <t>Jednogodišnja nabava usluge zbrinjavanja infektivnog otpada, gr. 1</t>
  </si>
  <si>
    <t>2.4.A.3</t>
  </si>
  <si>
    <t>REMONDIS MEDISON d.o.o.</t>
  </si>
  <si>
    <t>25.02.2016
2.1.1.-16/268-1
(1. godina)</t>
  </si>
  <si>
    <t>Jednogodišnja nabava zavojnog materijala 2, gr. 10</t>
  </si>
  <si>
    <t>1.1.12.A.7</t>
  </si>
  <si>
    <t>2015/S 002-0035669</t>
  </si>
  <si>
    <t>LOHMANN &amp; RAUSCHER d.o.o.</t>
  </si>
  <si>
    <t>15.03.2016
2.1.1.-16/293-1
(1. godina)</t>
  </si>
  <si>
    <t>Jednogodišnja nabava zavojnog materijala 2, gr. 9</t>
  </si>
  <si>
    <t>15.03.2016
2.1.1.-16/292-1
(1. godina)</t>
  </si>
  <si>
    <t>Jednogodišnja usluga zbrinjavanja miješanog glomaznog i građevinskog otpada, gr. 3</t>
  </si>
  <si>
    <t>2.4.B.12</t>
  </si>
  <si>
    <t>KEMIS-TERMOCLEAN d.o.o.</t>
  </si>
  <si>
    <t>01.03.2016
2.1.1.-16/270-1
(1. godina)</t>
  </si>
  <si>
    <t>Jednogodišnja nabava reagensa i testova za potrebe laboratorijske dijagnostike- XII, gr. 10</t>
  </si>
  <si>
    <t>BIOSISTEMI d.o.o.</t>
  </si>
  <si>
    <t>15.02.2016
2.1.1.-16/197-1
(1. godina)</t>
  </si>
  <si>
    <t>Nabava lijekova - generičke paralele- V, gr.14</t>
  </si>
  <si>
    <t>1.1.A. 25</t>
  </si>
  <si>
    <t>15.03.2016
2.1.1.-16/285-1
(6 mjeseci)</t>
  </si>
  <si>
    <t>ZAGREB KIŠPATIĆEVA 12</t>
  </si>
  <si>
    <t>Red. br.</t>
  </si>
  <si>
    <t>Evidencijski broj nabave i broj objave</t>
  </si>
  <si>
    <t>Datum sklapanja i rok na koji je sklopljen UG. o javnoj nabavi</t>
  </si>
  <si>
    <t>Jednogodišnja nabava reagensa i testova za potrebe laboratorijske dijagnostike XII, gr. 7</t>
  </si>
  <si>
    <t>15.02.2016
2.1.1.-16/194-1
(1. godina)</t>
  </si>
  <si>
    <t>Jednogodišnja nabava zavojnog materijala 2, gr. 2</t>
  </si>
  <si>
    <t>1.1.2.A.7</t>
  </si>
  <si>
    <t>15.03.2016
2.1.1.-16/290-1
(1. godina)</t>
  </si>
  <si>
    <t>Jednogodišnja nabava izotopa i laboratorijskih reagensa za potrebe nuklearne medicine, gr. 18</t>
  </si>
  <si>
    <t>1.1.2.A.173</t>
  </si>
  <si>
    <t>2015/S 002-008066</t>
  </si>
  <si>
    <t>16.03.2016
2.1.1.-16/289-1
(1. godina)</t>
  </si>
  <si>
    <t>ZN</t>
  </si>
  <si>
    <t>MEDICAL INTERTADE d.o.o.</t>
  </si>
  <si>
    <t>2.3.2016
9 mjeseci
2.1.1.-16/316-1</t>
  </si>
  <si>
    <t>2.3.2016
9 mjeseci
2.1.1.-16/314-1</t>
  </si>
  <si>
    <t>Nabava lijekova - generičke paralele- XIII, gr.1,7 i 10</t>
  </si>
  <si>
    <t>1.1.A.2 13</t>
  </si>
  <si>
    <t>15.03.2016
2.1.1.-16/294-1
(6 mjeseci)</t>
  </si>
  <si>
    <t>Nabava lijekova - generičke paralele- XIII, gr.8</t>
  </si>
  <si>
    <t>1.1.A.2.13</t>
  </si>
  <si>
    <t>15.03.2016
2.1.1.-16/296-1
(6 mjeseci)</t>
  </si>
  <si>
    <t>Nabava lijekova - generičke paralele- V, gr.1,5,6,13,20,38 i 46</t>
  </si>
  <si>
    <t>1.1.A.2.5</t>
  </si>
  <si>
    <t>15.03.2016
2.1.1.-16/282-1
(6 mjeseci)</t>
  </si>
  <si>
    <t>Nabava lijekova - generičke paralele- VI, GR. 2,6,7,16,18,20 i 25</t>
  </si>
  <si>
    <t>1.1.A.2.6</t>
  </si>
  <si>
    <t>15.03.2016
2.1.1.-16/302-1
(6 mjeseci)</t>
  </si>
  <si>
    <t>Nabava lijekova - generičke paralele- V, gr. 16 i 37</t>
  </si>
  <si>
    <t>15.03.2016
2.1.1.-16/286-1
(6 mjeseci)</t>
  </si>
  <si>
    <t>Nabava lijekova - generičke paralele- V, gr.8,9,11,15,21,22,25,26,32,33,39,41,42 i 43</t>
  </si>
  <si>
    <t>15.03.2016
2.1.1.-16/284-1
(6 mjeseci)</t>
  </si>
  <si>
    <t>Nabava lijekova-III, gr. 1</t>
  </si>
  <si>
    <t>1.1.A.5</t>
  </si>
  <si>
    <t>15.03.2016
2.1.1.-16/287-1
(6 mjeseci)</t>
  </si>
  <si>
    <t>Nabava lijekova-III, gr.2</t>
  </si>
  <si>
    <t>15.03.2016
2.1.1.-16/288-1
(6 mjeseci)</t>
  </si>
  <si>
    <t>Nabava lijekova - generičke paralele- V, gr.2,7,17,19,24,27,28,29,31,44 i 45</t>
  </si>
  <si>
    <t>15.03.2016
2.1.1.-16/283-1
(6 mjeseci)</t>
  </si>
  <si>
    <t>Nabava lijekova - generičke paralele- VI, gr. 3,4,5,9</t>
  </si>
  <si>
    <t>15.03.2016
2.1.1.-16/303-1
(6 mjeseci)</t>
  </si>
  <si>
    <t>Nabava lijekova - generičke paralele- VI, gr. 15,17,21,22,23 i 24</t>
  </si>
  <si>
    <t>15.03.2016
2.1.1.-16/305-1
(6 mjeseci)</t>
  </si>
  <si>
    <t>Nabava lijekova - generičke paralele- VI, gr. 8 i 26</t>
  </si>
  <si>
    <t>15.03.2016
2.1.1.-16/304-1
(6 mjeseci)</t>
  </si>
  <si>
    <t>Nabava lijekova - generičke paralele- XIII, gr.6</t>
  </si>
  <si>
    <t>15.03.2016
2.1.1.-16/295-1
(6 mjeseci)</t>
  </si>
  <si>
    <t>Nabava lijekova - generičke paralele- XIV,gr. 3</t>
  </si>
  <si>
    <t>15.03.2016
2.1.1.-16/306-1
(6 mjeseci)</t>
  </si>
  <si>
    <t>Nabava mikroskopa za fish, kariotipizaciju, ccg</t>
  </si>
  <si>
    <t>5.1.A.5/3.14</t>
  </si>
  <si>
    <t>2016/S 002-00001295</t>
  </si>
  <si>
    <t>MEL-MEDIKAL d.o.o.</t>
  </si>
  <si>
    <t>11.03.2016
2.1.1.-16/275-1
(1. godina)</t>
  </si>
  <si>
    <t>Jednogodišnja nabava tlakomjera, stetoskopa i rezervnih dijelova za tlakomjere, gr. 2</t>
  </si>
  <si>
    <t>1.4.1.B.2</t>
  </si>
  <si>
    <t>14.03.2016
2.1.1.-16/300-1
(1. godina)</t>
  </si>
  <si>
    <t>Jednogodišnja nabava višekratnog potrošnog materijala za potrebe jedinica intenzivnog liječenja</t>
  </si>
  <si>
    <t>1.1.2.B.6</t>
  </si>
  <si>
    <t>MEDIVA d.o.o.</t>
  </si>
  <si>
    <t>26.02.2016
2.1.1.-16/255-1
(1. godina)</t>
  </si>
  <si>
    <t>Nabava višekratnog potrošnog materijala za medicinske uređaje Fisher&amp;Pykel</t>
  </si>
  <si>
    <t>1.1.2.B.26</t>
  </si>
  <si>
    <t>TEHNOMEDIKA d.o.o.</t>
  </si>
  <si>
    <t>1.1.4.B.2</t>
  </si>
  <si>
    <t>Nabava posebne hrane za djecu</t>
  </si>
  <si>
    <t>ATLANTIC PHARMACENTAR d.o.o.</t>
  </si>
  <si>
    <t>Jednogodišnja usluga tečaja higijenskog minimuma</t>
  </si>
  <si>
    <t>3.1.B.1</t>
  </si>
  <si>
    <t>NASTAVNI ZAVOD ZA JAVNO ZDRAVSTVO DR. ANDRIJA ŠTAMPAR</t>
  </si>
  <si>
    <t>2.4.B.2</t>
  </si>
  <si>
    <t>CE-ZA-R d.o.o.</t>
  </si>
  <si>
    <t>2.9.6.B.5</t>
  </si>
  <si>
    <t>DRAGER SAFETY D.O.O.</t>
  </si>
  <si>
    <t>Jednogodišnja usluga održavanja servisiranja i ovjera (baždarenja) vaga</t>
  </si>
  <si>
    <t>2.2.2.B.1</t>
  </si>
  <si>
    <t>TEHNIČAR UNICOMP D.O.O.</t>
  </si>
  <si>
    <t>Jednogodišnja usluga održavanja alkometara Drager</t>
  </si>
  <si>
    <t>Usluga zbrinjavanja ambalaže od drveta i plastike</t>
  </si>
  <si>
    <t>25.01.2016
pon/0118
(1. godina)</t>
  </si>
  <si>
    <t>22.01.2016
Pon01/16
(1. godina)</t>
  </si>
  <si>
    <t>22.01.2016
Pon02/16
(1. godina)</t>
  </si>
  <si>
    <t>22.01.2016
Pon03/16
(1. godina)</t>
  </si>
  <si>
    <t>22.01.2016
Pon04/16
(1. godina)</t>
  </si>
  <si>
    <t>16.02.2016
PON120216
(3. mjeseca)</t>
  </si>
  <si>
    <t>18.03.2016
PON16-5060
(1. godina)</t>
  </si>
  <si>
    <t>14.02.2016
PON-39/201
(1. godina)</t>
  </si>
  <si>
    <t>Jednogodišnja nabava zavojnog materijala 2, gr. 7</t>
  </si>
  <si>
    <t>PAUL HARTMANN</t>
  </si>
  <si>
    <t>15.03.2016
2.1.1.-16/291-1
(1. godina)</t>
  </si>
  <si>
    <t>Jednogodišnja usluga servisnog održavanja internog bolničkog komunikacijskog sustava</t>
  </si>
  <si>
    <t>2.2.2.B.107</t>
  </si>
  <si>
    <t>COMMEND ADRIA d.o.o.</t>
  </si>
  <si>
    <t>15.03.2016
2.1.1.-16/307-1
(1. godina)</t>
  </si>
  <si>
    <t>Jednogodišnja usluga servisnog održavanja sustava za pripremu ultra čiste vode Tehnohemo</t>
  </si>
  <si>
    <t>2.2.2.B.21</t>
  </si>
  <si>
    <t>ZAGREB-TEHNOBIRO d.o.o.</t>
  </si>
  <si>
    <t>10.02.2016
2.1.1.-16/222-1
(1. godina)</t>
  </si>
  <si>
    <t>2.3.2016
9 mjeseci
2.1.1.-16/315-1</t>
  </si>
  <si>
    <t>UGOVOR PO OKVIRNOM SPORAZUMU ZA NABAVU LOŽ ULJA EKSTRA LAKO EURO LUEL br. 15-4/2015</t>
  </si>
  <si>
    <t>1.3.2016
1 godina
2.1.1.-16/145-1</t>
  </si>
  <si>
    <t>INA - INDUSTRIJA NAFTE d.d.</t>
  </si>
  <si>
    <t>Nabava jednogodišnje usluge servisnog održavanja ventilatora Puritan Bennet i SLE proizvođača Covidien</t>
  </si>
  <si>
    <t>2.2.2.B.8</t>
  </si>
  <si>
    <t>15.3.2016
2.1.1.-16/298-1
(1. godina)</t>
  </si>
  <si>
    <t>Jednogodišnja usluga servisnog održavanja medicinskih uređaja proizvođača Nihon Kohden, Rimed, MMS, Ela Medical</t>
  </si>
  <si>
    <t>2.2.2.B.17</t>
  </si>
  <si>
    <t>BIOELEKTRONIKA d.o.o.</t>
  </si>
  <si>
    <t>15.3.2016
2.1.1.-16/326-1
(1. godina)</t>
  </si>
  <si>
    <t>JEDNOGODIŠNJA USLUGA IZRADE NATPISNIH PLOČICA, NALJEPNICA, ULOŽNICA OD PLEKSIGLASA</t>
  </si>
  <si>
    <t>2.9.5.B.5</t>
  </si>
  <si>
    <t>NARODNE NOVINE d.d.</t>
  </si>
  <si>
    <t>05. ožujka 2016.
1 godina</t>
  </si>
  <si>
    <t>Sred.za čišć. parno konvek.pećnice</t>
  </si>
  <si>
    <t>Kante pvc,koševi</t>
  </si>
  <si>
    <t>Jednog. usluga održ.fotokopirnih strojeva</t>
  </si>
  <si>
    <t>1.2.1/2.B.2</t>
  </si>
  <si>
    <t>1.2.4.B.2</t>
  </si>
  <si>
    <t>2.2.2.B.11</t>
  </si>
  <si>
    <t>Eurogast</t>
  </si>
  <si>
    <t>Narodne novine</t>
  </si>
  <si>
    <t>Gama ordino</t>
  </si>
  <si>
    <t>3.3.2016
PON-16056
(1. godina)</t>
  </si>
  <si>
    <t>7.3.2016
PON-107/16
(1. godina)</t>
  </si>
  <si>
    <t>10.3.2016
PON-11/2016
(1. godina)</t>
  </si>
  <si>
    <t>Jednogodišnja nabava usluge ispitivanja iz područja zaštite na radu, zaštite od požara i zaštite okoliša u KBC-u Zagreb, gr. 1,2,3, i 4</t>
  </si>
  <si>
    <t>ZAVOD ZA ISPITIVANJE KVALITETE d.o.o.</t>
  </si>
  <si>
    <t>21.03.2016
2.1.1.-16/309-1
(1. godina)</t>
  </si>
  <si>
    <t>22.03.2016
2.1.1.-16/309-2
(1. godina)</t>
  </si>
  <si>
    <t>2.3.2016
9 mjeseci
2.1.1.-16/317-1</t>
  </si>
  <si>
    <t>Jednogodišnja nabava tlakomjera, stetoskopa i rezervnih dijelova za tlakomjere, gr. 1</t>
  </si>
  <si>
    <t>INEL-MEDICINSKA TEHNIKA d.o.o.</t>
  </si>
  <si>
    <t>14.03.2016
2.1.1.-16/299-1
(1. godina)</t>
  </si>
  <si>
    <t>14.03.2016
2.1.1.-16/301-1
(1. godina)</t>
  </si>
  <si>
    <t>Jednogodišnja usluga kemijskog čišćenja ventilacije i klimatizacije na lokacijama KBC-a Zagreb</t>
  </si>
  <si>
    <t>2.2.2.B.108</t>
  </si>
  <si>
    <t>K.G.V.H. EKO d.o.o.</t>
  </si>
  <si>
    <t>24.03.2016
2.1.1.-16/334-1
(1. godina)</t>
  </si>
  <si>
    <t>Jednogodišnja nabava sustava za humano vezivanje pacijenata</t>
  </si>
  <si>
    <t>5.1.B5/3.1</t>
  </si>
  <si>
    <t>23.03.2016
2.1.1.-16/327-1
(1. godina)</t>
  </si>
  <si>
    <t>Jednogosišnja nabava medicinskog instrumentarija i pribora za potrebe KBC-a Zagreb, gr. 4</t>
  </si>
  <si>
    <t>5.1.B5/3.13</t>
  </si>
  <si>
    <t>25.03.2016
2.1.1.-16/340-1
(1. godina)</t>
  </si>
  <si>
    <t>Jednogosišnja nabava medicinskog instrumentarija i pribora za potrebe KBC-a Zagreb, gr. 5 i 7</t>
  </si>
  <si>
    <t>MEDIA d.o.o.</t>
  </si>
  <si>
    <t>25.03.2016
2.1.1.-16/339-1
(1. godina)</t>
  </si>
  <si>
    <t>Jednogodišnja nabava medicinskog potrošnog materijala za potrebe endoskopske kirurgije, gr. 29 i 38</t>
  </si>
  <si>
    <t>1.02.2016
2.1.1.-16/99-1
(1. godina)</t>
  </si>
  <si>
    <t>Jednogodišnja nabava guma za vozila, remenja i maziva za potrebe KBC-a Zagreb, gr. 2 i 4</t>
  </si>
  <si>
    <t>SMIT COMMERCE d.o.o.</t>
  </si>
  <si>
    <t>22.03.2016
2.1.1.-16/310-1
(1. godina)</t>
  </si>
  <si>
    <t>Jednogosišnja nabava medicinskog instrumentarija i pribora za potrebe KBC-a Zagreb, gr. 1 i 6</t>
  </si>
  <si>
    <t>INSTRUMENTARIA d.d.</t>
  </si>
  <si>
    <t>25.03.2016
2.1.1.-16/338-1
(1. godina)</t>
  </si>
  <si>
    <t>Jednogodišnja nabava roleta, venecijanera, trakastih zavjesa, rolo zavjesa i žaluzina s montažom i održavanjem na lokacijama KBC-a Zagreb</t>
  </si>
  <si>
    <t>2.2.1.B.14</t>
  </si>
  <si>
    <t>RO-LO Roletarstvo Lovrišec</t>
  </si>
  <si>
    <t>31.03.2016
2.1.1.-16/341-1
(1. godina)</t>
  </si>
  <si>
    <t>Jednogodišnja nabava usluge servisnog održavanja sustava za sterilizaciju, gr. 1,3,5</t>
  </si>
  <si>
    <t>2.2.2.A.32</t>
  </si>
  <si>
    <t>31.03.2016
2.1.1.-16/342-1
(1. godina)</t>
  </si>
  <si>
    <t>Jednogodišnja nabava višekratnog potrošnog materijala za medicinske uređaje proizvođača Fujinon, Pentax, Philips, Johnson &amp; Johnson, gr. 1</t>
  </si>
  <si>
    <t>1.1.2.A.119</t>
  </si>
  <si>
    <t>31.03.2016
2.1.1.-16/344-1
(1. godina)</t>
  </si>
  <si>
    <t>Jednogodišnja nabava najma radiološkog informacijjskog sustava (RIS-a) uključivo s održavanjem i korisničkom potporom</t>
  </si>
  <si>
    <t>2.5.A.2.</t>
  </si>
  <si>
    <t>HRVATSKI TELEKOM d.d.
MEDAVIS d.o.o.</t>
  </si>
  <si>
    <t>1.4.2016
2.1.1.-16/308-1
(1. godina)</t>
  </si>
  <si>
    <t>Jednogodišnja nabava ambalaže za magistralne pripravke, gr. 2</t>
  </si>
  <si>
    <t>1.1.2.B.23</t>
  </si>
  <si>
    <t>MEDIKA d.d,</t>
  </si>
  <si>
    <t>05.04.2016
2.1.1.-16/366-1
(1. godina)</t>
  </si>
  <si>
    <t>1.1.A.28</t>
  </si>
  <si>
    <t>31.03.2016
2.1.1.-16/346-1
(6 mjeseci)</t>
  </si>
  <si>
    <t>31.9.2016</t>
  </si>
  <si>
    <t>Usluga upravljanja i održavanja računalne mrežne opreme, gr. 2</t>
  </si>
  <si>
    <t>2.8.A.19</t>
  </si>
  <si>
    <t>SEDAM IT d.o.o.</t>
  </si>
  <si>
    <t>2015/S 002-0038303</t>
  </si>
  <si>
    <t>31.03.2016
2.1.1.-16/348-1
(1. godina)</t>
  </si>
  <si>
    <t>Jednogodišnja nabava usluge popravaka i održavanja dizala na lokacijama KBC-a Zagreb</t>
  </si>
  <si>
    <t>2.2.2.A.11</t>
  </si>
  <si>
    <t>2015/S 002-0002986</t>
  </si>
  <si>
    <t>THYSSENKRUPP DIZALA d.o.o.</t>
  </si>
  <si>
    <t>22.4.2016
2.1.1.-16/345-1
(1. godina)</t>
  </si>
  <si>
    <t>Jednogodišnja nabava ambalaže za magistralne pripravke, gr. 1</t>
  </si>
  <si>
    <t>COPAN d.o.o.</t>
  </si>
  <si>
    <t>05.04.2016
2.1.1.-16/350-1
(1. godina)</t>
  </si>
  <si>
    <t>Jednogodišnja nabava ambalaže za magistralne pripravke, gr. 3</t>
  </si>
  <si>
    <t>05.04.2016
2.1.1.-16/367-1
(1. godina)</t>
  </si>
  <si>
    <t>Jednogodišnja nabava guma za vozila, remenja i maziva za potrebe KBC-a Zagreb, gr. 3</t>
  </si>
  <si>
    <t>1.5. B.73</t>
  </si>
  <si>
    <t>AUTO HRVATSKA AUTODIJELOVI d.o.o.</t>
  </si>
  <si>
    <t>04.04.2016
2.1.1.-16/349-1
(1. godina)</t>
  </si>
  <si>
    <t>Jednogodišnja nabava usluge obdukcije od strane sudskog medicinara</t>
  </si>
  <si>
    <t>2.6.2.B.10</t>
  </si>
  <si>
    <t>SVEUČILIŠTE U ZAGREBU MEDICINSKI FAKULTET</t>
  </si>
  <si>
    <t>26.03.2016
2.1.1.-16/335-1
(1. godina)</t>
  </si>
  <si>
    <t>Popravak poda oko parnih kotlova u kuhinji Rebro</t>
  </si>
  <si>
    <t>ASTA ARS d.o.o.</t>
  </si>
  <si>
    <t xml:space="preserve">4.4.2016
2.1.1.-16/386-1
</t>
  </si>
  <si>
    <t>Nabava sustava za kariotipizaciju Fisch i CGH, gr. 2</t>
  </si>
  <si>
    <t>5.1.A5/3.14</t>
  </si>
  <si>
    <t>METASYSTEMS d.o.o.</t>
  </si>
  <si>
    <t xml:space="preserve">25.02.2016
2.1.1.-16/274-1
</t>
  </si>
  <si>
    <t>Nabava lijekova - generičke paralele- XII, gr. 1,2,3,4,8,12,13,19,22,26,27,28,31,33,36,39,43,44,47,49,50,51,54,56,57 i 58</t>
  </si>
  <si>
    <t>06.04.2016
2.1.1.-16/394-1
(6 mjeseci)</t>
  </si>
  <si>
    <t>Nabava usluge upravljanja i održavanja računalne mrežne opreme, gr. 1</t>
  </si>
  <si>
    <t>SPAN d.o.o.</t>
  </si>
  <si>
    <t>31.03.2016
2.1.1.-16/347-1
(1. godina)</t>
  </si>
  <si>
    <t>Jednogodišnja nabava višekratnog potrošnog materijala za medicinske uređaje proizvođača NIHON KOHDEN, RIMED, HAMILTON</t>
  </si>
  <si>
    <t>1.1.2.B.3</t>
  </si>
  <si>
    <t>11.04.2016
2.1.1.-16/406-1
(1. godina)</t>
  </si>
  <si>
    <t>Nabava lijekova - generičke paralele XIV, gr. 3</t>
  </si>
  <si>
    <t>11.04.2016
2.1.1.-16/394-1
(6 mjeseci)</t>
  </si>
  <si>
    <t>Nabava lijekova - generičke paralele VII, gr. 14,15,16,17,18,20,21,23,24,40,41,42,60,63,64 i 65</t>
  </si>
  <si>
    <t>1.1.A.2.7.</t>
  </si>
  <si>
    <t>2014/S 002-0054997</t>
  </si>
  <si>
    <t>6.04.2016
2.1.1.-16/395--1
(6 mjeseci)</t>
  </si>
  <si>
    <t>Nabava lijekova - IV</t>
  </si>
  <si>
    <t>6.04.2016
2.1.1.-16/391--1
(6 mjeseci)</t>
  </si>
  <si>
    <t>Nabava lijekova - generičke paralele VII, gr. 9</t>
  </si>
  <si>
    <t>MARKOMED d.o.o.</t>
  </si>
  <si>
    <t>6.04.2016
2.1.1.-16/398--1
(6 mjeseci)</t>
  </si>
  <si>
    <t>Jednogodišnja usluga popravaka vodovodnih i kanalizacijskih cijevi na lokacijama KBC-a Zagreb</t>
  </si>
  <si>
    <t>2.2.1.B.42</t>
  </si>
  <si>
    <t>RANUS d.o.o.</t>
  </si>
  <si>
    <t>11.04.2016
2.1.1.-16/399-1
(1. godina)</t>
  </si>
  <si>
    <t>Nabava lijekova - generičke paralele VII, gr. 59</t>
  </si>
  <si>
    <t>6.04.2016
2.1.1.-16/397--1
(6 mjeseci)</t>
  </si>
  <si>
    <t>Nabava lijekova - generičke paralele I, gr. 31</t>
  </si>
  <si>
    <t>JASIKA d.o.o.</t>
  </si>
  <si>
    <t>15.03.2016
2.1.1.-16/297-1
(6 mjeseci)</t>
  </si>
  <si>
    <t>Nabava lijekova - generičke paralele VII, gr. 10,11,61 i 62</t>
  </si>
  <si>
    <t>6.04.2016
2.1.1.-16/396--1
(6 mjeseci)</t>
  </si>
  <si>
    <t>Jednogodišnja nabava medicinskog mobilijara, gr. 1 i 2</t>
  </si>
  <si>
    <t>1.4.1.B.59</t>
  </si>
  <si>
    <t>20.04.2016
2.1.1.-16/414-1
(1. godina)</t>
  </si>
  <si>
    <t>Nabava usluge izrade projektne dokumentacije u svrhu optimizacije klimatizacije i ventilacije klinike za ženske bolesti i porode</t>
  </si>
  <si>
    <t>PROJEKT DANAS d.o.o.</t>
  </si>
  <si>
    <t>20.04.2016
2.1.1.-16/413-1
(1. godina)</t>
  </si>
  <si>
    <t>Jednogodišnja usluga zbrinjavanja miješanog glomaznog i građevinskog otpada, gr. 1 i 2</t>
  </si>
  <si>
    <t>18.04.2016
2.1.1.-16/409-1
(1. godina)</t>
  </si>
  <si>
    <t>Nabava izvanrednog servisnog održavanja i popravaka medicinskih uređaja proizvođača Fujinon</t>
  </si>
  <si>
    <t>2.2.2.B.98</t>
  </si>
  <si>
    <t>22.04.2016
2.1.1.-16/409-1
(1. godina)</t>
  </si>
  <si>
    <t>Jednogodišnja nabava medicinskog potrošnog materijala za mikrobiologiju- II, grupa L</t>
  </si>
  <si>
    <t>2015/S 002-0036794</t>
  </si>
  <si>
    <t>BIOVIT d.o.o.</t>
  </si>
  <si>
    <t>25.4.2016
2.1.1.-16/416-1
(1. godina)</t>
  </si>
  <si>
    <t>Jednogodišnja nabava medicinskog potrošnog materijala za mikrobiologiju- II, grupa XLIV</t>
  </si>
  <si>
    <t>25.4.2016
2.1.1.-16/418-1
(1. godina)</t>
  </si>
  <si>
    <t>Jednogodišnja nabava medicinskog potrošnog materijala za mikrobiologiju- II, grupa XLVIII</t>
  </si>
  <si>
    <t>25.4.2016
2.1.1.-16/415-1
(1. godina)</t>
  </si>
  <si>
    <t>Jednogodišnja nabava medicinskog potrošnog materijala za mikrobiologiju- II, grupa XL</t>
  </si>
  <si>
    <t>25.4.2016
2.1.1.-16/419-1
(1. godina)</t>
  </si>
  <si>
    <t>P.T.D. d.o.o.</t>
  </si>
  <si>
    <t>25.4.2016
2.1.1.-16/421-1
(1. godina)</t>
  </si>
  <si>
    <t>Jednogodišnja nabava medicinskog potrošnog materijala za mikrobiologiju- II, grupa XXXVI</t>
  </si>
  <si>
    <t>Nabava usluge nadogradnje pasivne infrastrukture</t>
  </si>
  <si>
    <t>2.8.A.20</t>
  </si>
  <si>
    <t>LOST d.o.o.</t>
  </si>
  <si>
    <t>25.4.2016
2.1.1.-16/423-1
(1. godina)</t>
  </si>
  <si>
    <t>Jednogodišnja nabava medicinskog potrošnog materijala za mikrobiologiju- II, grupa XXXIX</t>
  </si>
  <si>
    <t>25.4.2016
2.1.1.-16/420-1
(1. godina)</t>
  </si>
  <si>
    <t>Jednogodišnja nabava medicinskog potrošnog materijala za mikrobiologiju- II, grupa LIII</t>
  </si>
  <si>
    <t>25.4.2016
2.1.1.-16/417-1
(1. godina)</t>
  </si>
  <si>
    <t>Jednogodišnja usluga produženja sanitarnih knjižica i izdavanje novih za djelatnike koji moraju redovito obavljati zdravstvene preglede</t>
  </si>
  <si>
    <t>2.6.2.A.1</t>
  </si>
  <si>
    <t>NASTAVNI ZAVOD ZA JAVNO ZDRAVSTVO "dr. Andrija Štampar"</t>
  </si>
  <si>
    <t>7.4.2016
2.1.1.-16/400-1
(1. godina)</t>
  </si>
  <si>
    <t>Jednogodišnja nabava bravarskih usluga (Inox materijal) na kolacijama KBC-a Zagreb</t>
  </si>
  <si>
    <t>2.2.2.B.9</t>
  </si>
  <si>
    <t>KOVINA SAMOBOR d.o.o.</t>
  </si>
  <si>
    <t>27.04.2016
2.1.1.-16/424-1
(1. godina)</t>
  </si>
  <si>
    <t>Jednogodišnja nabava medicinskog potrošnog materijala za radiologiju, gr. 1</t>
  </si>
  <si>
    <t>1.1.2.A.23</t>
  </si>
  <si>
    <t>2016/S 002-0001094</t>
  </si>
  <si>
    <t>25.4.2016
2.1.1.-16/425-1
(1. godina)</t>
  </si>
  <si>
    <t>Jednogodišnja nabava reagensa i testova za potrebe dermatologije, gr. 7</t>
  </si>
  <si>
    <t>1.1.2.A.107</t>
  </si>
  <si>
    <t>2016/ S 002-0002865</t>
  </si>
  <si>
    <t>25.4.2016
2.1.1.-16/439-1
(1. godina)</t>
  </si>
  <si>
    <t>Nabava epruveta s podtlakom, gr. 1</t>
  </si>
  <si>
    <t>1.1.2.A.103</t>
  </si>
  <si>
    <t>2016/S 002-0002452</t>
  </si>
  <si>
    <t>27.4.2016
2.1.1.-16/443-1
(1. godina)</t>
  </si>
  <si>
    <t>Jednogodišnja nabava reagensa i testova za potrebe dermatologije, gr. 4</t>
  </si>
  <si>
    <t>2016/S 002-0002865</t>
  </si>
  <si>
    <t>25.4.2016
2.1.1.-16/438-1
(1. godina)</t>
  </si>
  <si>
    <t>Jednogodišnja nabava pribora za ugradnju elektrostimulatora srca, gr. 1</t>
  </si>
  <si>
    <t>1.1.2.A.153</t>
  </si>
  <si>
    <t>2016/S 002-0002688</t>
  </si>
  <si>
    <t>BIO ADRIA d.o.o.</t>
  </si>
  <si>
    <t>27.4.2016
2.1.1.-16/441-1
(1. godina)</t>
  </si>
  <si>
    <t>Jednogodišnja nabava pribora za ugradnju elektrostimulatora srca, gr. 7</t>
  </si>
  <si>
    <t>27.4.2016
2.1.1.-16/442-1
(1. godina)</t>
  </si>
  <si>
    <t>Jednogodišnja nabava usluge servisnog održavanja medicinskih uređaja proizvođača Gebruder Martin GmbH &amp; Co i Trumpf Medizin Systeme GmbH &amp; Co KG</t>
  </si>
  <si>
    <t>2.2.2.B.120</t>
  </si>
  <si>
    <t>HILUS d.o.o.</t>
  </si>
  <si>
    <t>27.04.2016
2.1.1.-16/444-1
(1. godina)</t>
  </si>
  <si>
    <t>1.1.2.A.66</t>
  </si>
  <si>
    <t>2016/ 002-0002532</t>
  </si>
  <si>
    <t>25.4.2016
2.1.1.-16/440-1
(1. godina)</t>
  </si>
  <si>
    <t>Jednogodišnja nabava reagensa i testova za potrebe dermatologije, gr. III</t>
  </si>
  <si>
    <t>2016/ 002-0002865</t>
  </si>
  <si>
    <t>25.4.2016
2.1.1.-16/437-1
(1. godina)</t>
  </si>
  <si>
    <t>Nabava lijekova - XXIII</t>
  </si>
  <si>
    <t>1.1.A.25</t>
  </si>
  <si>
    <t>5.5..2016
2.1.1.-16/447--1
(6 mjeseci)</t>
  </si>
  <si>
    <t>UGOVOR PO OKVIRNOM SPORAZUMU OS 02/2016 ZA JEDNOGODIŠNJU NABAVU OSTALOG POTROŠNOG MATERIJALA - GIPS
POTROŠNI MATERIJAL ZA GIPSANJE I LONGETE, GR. 3</t>
  </si>
  <si>
    <t>6.5.2016
1 godina
2.1.1- 16/481-1</t>
  </si>
  <si>
    <t>Nabava jednogodišnje usluge servisnog održavanja medicinske opreme proizvođača Carl Zeiss</t>
  </si>
  <si>
    <t>2.2.2.A.31</t>
  </si>
  <si>
    <t>2016/S 002-0003359</t>
  </si>
  <si>
    <t>CARL ZEISS d.o.o.</t>
  </si>
  <si>
    <t>5.5.2016
2.1.1.-16/445-1
(1. godina)</t>
  </si>
  <si>
    <t>Jednogodišnja nabava usluge održavanja vozila KBC-a Zagreb, gr. 2,3 i 5</t>
  </si>
  <si>
    <t>2.2.3.B.1</t>
  </si>
  <si>
    <t>2016/S 002-0002653</t>
  </si>
  <si>
    <t>AUTOSERVIS I TRGOVINA "BERTOVIĆ"</t>
  </si>
  <si>
    <t>10.5.2016
2.1.1.-16/449-1
(1. godina)</t>
  </si>
  <si>
    <t>Jednogodišnja nabava usluge održavanja vozila KBC-a Zagreb, gr. 1,4,6,7,8, i 9</t>
  </si>
  <si>
    <t>ALTEDA d.o.o.</t>
  </si>
  <si>
    <t>10.5.2016
2.1.1.-16/448-1
(1. godina)</t>
  </si>
  <si>
    <t>Nabava popravvka i servisa sustava neprekidnog napajanja (UPS)</t>
  </si>
  <si>
    <t>2.2.2.B.30</t>
  </si>
  <si>
    <t>ELIN d.o.o.</t>
  </si>
  <si>
    <t xml:space="preserve">13.5.2016
2.1.1.-16/455-1
</t>
  </si>
  <si>
    <t>UGOVOR PO OKVIRNOM SPORAZUMU OS 04/2016 ZA JEDNOGODIŠNJU NABAVU OSTALOG POTROŠNOG MATERIJALA - GIPS
PLOČICA ZA IMOBILIZACIJU PRSTA, GR. 5</t>
  </si>
  <si>
    <t>6.5.2016
1 godina
2.1.1- 16/484-1</t>
  </si>
  <si>
    <t>Jednogodišnja nabava otorinolaringoloških implantata, gr. 3.</t>
  </si>
  <si>
    <t>1.1.2.A.30</t>
  </si>
  <si>
    <t>2016/S 002-0003605</t>
  </si>
  <si>
    <t>05.5.2016
2.1.1.-16/446-1
(1. godina)</t>
  </si>
  <si>
    <t>Jednogodišnja nabava višekratnog potrošnog materijala za medicinske uređaje proizvođača DRAGER MEDICAL</t>
  </si>
  <si>
    <t>1.1.2.A.120</t>
  </si>
  <si>
    <t>2016/S 002-0003293</t>
  </si>
  <si>
    <t>DRAGER MEDICAL CROATIA d.o.o.</t>
  </si>
  <si>
    <t>13.5.2016
2.1.1.-16/452-1
(1. godina)</t>
  </si>
  <si>
    <t>UGOVOR PO OKVIRNOM SPORAZUMU OS 01/2016 ZA JEDNOGODIŠNJU NABAVU OSTALOG POTROŠNOG MATERIJALA - GIPS 
ZAVOJNI MATERIJAL GR. 1</t>
  </si>
  <si>
    <t>6.5.2016
1 godina
2.1.1- 16/482-1</t>
  </si>
  <si>
    <t>Nabava zavojnog materijala - 1, gr. IV</t>
  </si>
  <si>
    <t>1.1.2.A.2.</t>
  </si>
  <si>
    <t>2015/s 002-0037120</t>
  </si>
  <si>
    <t>PAUL HARTMANN d.o.o.</t>
  </si>
  <si>
    <t>10.5.2016
2.1.1.-16/450-1
(6 mjeseci)</t>
  </si>
  <si>
    <t>Nabava lijekova - XXI</t>
  </si>
  <si>
    <t>1.1.A.24</t>
  </si>
  <si>
    <t>16.5..2016
2.1.1.-16/456--1
(6 mjeseci)</t>
  </si>
  <si>
    <t>Pružanje usluge savjetovanja nad projektom dnevne bolnice i jednodnevne kirurgije</t>
  </si>
  <si>
    <t>PLAVI PARTNER d.o.o.</t>
  </si>
  <si>
    <t xml:space="preserve">15.5.2016
2.1.1.-16/454-1
</t>
  </si>
  <si>
    <t>Jednogodišnja nabava medicinskog papira i kartona, gr. 1,4 i 5</t>
  </si>
  <si>
    <t>2016/S 002-0005225</t>
  </si>
  <si>
    <t>27.5.2016
2.1.1.-16/509-1
(1. godina)</t>
  </si>
  <si>
    <t>Jednogodišnja nabava žarulja za med.uređaje, gr.2</t>
  </si>
  <si>
    <t>1.4.1.A.4</t>
  </si>
  <si>
    <t>2016/S 002-0006357</t>
  </si>
  <si>
    <t>27.5.2016
2.1.1.-16/511-1
(1. godina)</t>
  </si>
  <si>
    <t>Nabav lijekova - generičke paralele XIV, gr. 2</t>
  </si>
  <si>
    <t>20.5..2016
2.1.1.-16/460--1
(6 mjeseci)</t>
  </si>
  <si>
    <t>20.11.2016.</t>
  </si>
  <si>
    <t>UGOVOR PO OKVIRNOM SPORAZUMU OS 03/2016 ZA JEDNOGODIŠNJU NABAVU OSTALOG POTROŠNOG MATERIJALA - GIPS 
TKANA SINTETSKA NAVLAKA ZA EKSTREMITETE, GR.4</t>
  </si>
  <si>
    <t>6.5.2016
1 godina
2.1.1- 16/483-1</t>
  </si>
  <si>
    <t>Jednogodišnja nabava medicinskog papira i kartona, gr. 2</t>
  </si>
  <si>
    <t>LKB VERTRIEBS GmbH</t>
  </si>
  <si>
    <t>27.5.2016
2.1.1.-16/510-1
(1. godina)</t>
  </si>
  <si>
    <t xml:space="preserve">
Jednogodišnja nabava reagensa i testova za potrebe laboratorijske dijagnostike XII, gr. 12</t>
  </si>
  <si>
    <t>2.2.2.B.99</t>
  </si>
  <si>
    <t>2016/S 002-0005255</t>
  </si>
  <si>
    <t>SHIMADZU  d.o.o.</t>
  </si>
  <si>
    <t>25.4.2016
2.1.1.-16/508-1
(1. godina)</t>
  </si>
  <si>
    <t>Jednogodišnja usluga popravka i sevisa gama kamere Phillips Irix Picker</t>
  </si>
  <si>
    <t>ICEBERG INTERNATIONAL
 TRADING d.o.o.</t>
  </si>
  <si>
    <t xml:space="preserve">1.6.2016
2.1.1.-16/548-1
</t>
  </si>
  <si>
    <t>15.5.2016.</t>
  </si>
  <si>
    <t>1.6.2016.</t>
  </si>
  <si>
    <t>1.6.2016.
1 godina
2.1.1.-16/542-1</t>
  </si>
  <si>
    <t>UGOVOR  PO OKVIRNOM SPORAZUMU ZA JEDNOGODIŠNJU NABAVU MEDICINSKOG MATERIJALA ZA POTREBE INTERVENCIJSKE NEURORADIOLOGIJE, GR. VI.</t>
  </si>
  <si>
    <t>UGOVOR  PO OKVIRNOM SPORAZUMU ZA JEDNOGODIŠNJU NABAVU MEDICINSKOG MATERIJALA ZA POTREBE INTERVENCIJSKE NEURORADIOLOGIJE, GR. IX.</t>
  </si>
  <si>
    <t>1.6.2016.
1 godina
2.1.1.-16/545-1</t>
  </si>
  <si>
    <t>Nabava lijekova - I, gr. 1</t>
  </si>
  <si>
    <t>1.1.A.3</t>
  </si>
  <si>
    <t>2.6..2016
2.1.1.-16/546--1
(6 mjeseci)</t>
  </si>
  <si>
    <t>2.6.2016.</t>
  </si>
  <si>
    <t>Nabava lijekova - I, gr. 3</t>
  </si>
  <si>
    <t>2.6..2016
2.1.1.-16/547--1
(6 mjeseci)</t>
  </si>
  <si>
    <t>UGOVOR O NABAVI PRIRODNOG PLINA</t>
  </si>
  <si>
    <t>PRVO PLINARSKO DRUŠTVO - 
OPSKRBA POSLOVNIH KORISNIKA
 d.o.o.</t>
  </si>
  <si>
    <t>Jednogodišnja nabava medicinskog potrošnog materijala -  digitalni drenažni sustav za torakalnu kirurgiju</t>
  </si>
  <si>
    <t>1.1.2.A.114</t>
  </si>
  <si>
    <t>2016/S 002-0006563</t>
  </si>
  <si>
    <t>MESSER CROATIA PLIN D.O.O.</t>
  </si>
  <si>
    <t>17.5.2016
2.1.1.-16/458-1
(1. godina)</t>
  </si>
  <si>
    <t>Jednogodišnja nabava kirurških implantata za potrebe dječje kirurgije - gr. I i II</t>
  </si>
  <si>
    <t>1.1.2.B.13</t>
  </si>
  <si>
    <t xml:space="preserve">30.5.2016
2.1.1.-16/548-1
</t>
  </si>
  <si>
    <t>30.5.2016.</t>
  </si>
  <si>
    <t>Nabava lijekova - XVI</t>
  </si>
  <si>
    <t>23.5.2016.</t>
  </si>
  <si>
    <t>23.5..2016
2.1.1.-16/459--1
(6 mjeseci)</t>
  </si>
  <si>
    <t>UGOVOR  PO OKVIRNOM SPORAZUMU ZA JEDNOGODIŠNJU NABAVU MEDICINSKOG MATERIJALA ZA POTREBE INTERVENCIJSKE NEURORADIOLOGIJE, GR. III.</t>
  </si>
  <si>
    <t>JOHNSON &amp; JOHNSON S.E. d.o.o.</t>
  </si>
  <si>
    <t>1.6.2016.
1 godina
2.1.1.-16/539-1</t>
  </si>
  <si>
    <t>6.5.2016.
1 godina
2.1.1.-16/453-1</t>
  </si>
  <si>
    <t>1.1.2.A.50</t>
  </si>
  <si>
    <t>Nabava medicinskog potrošnog materijala za potrebe obrade uzoraka tkiva za zakladu Ana Rukavina, gr. I i II</t>
  </si>
  <si>
    <t>2016/S 002-0007455</t>
  </si>
  <si>
    <t>31.5.2016
2.1.1.-16/518-1
(1. godina)</t>
  </si>
  <si>
    <t>31.5.2016.</t>
  </si>
  <si>
    <t>Nabava medicinskog potrošnog materijala za potrebe obrade uzoraka tkiva za zakladu Ana Rukavina, gr. III</t>
  </si>
  <si>
    <t>31.5.2016
2.1.1.-16/519-1
(6 mjeseci)</t>
  </si>
  <si>
    <t>2016/S 002-0007445</t>
  </si>
  <si>
    <t>31.5.2016
2.1.1.-16/512-1
(1 godina)</t>
  </si>
  <si>
    <t>UGOVOR  PO OKVIRNOM SPORAZUMU ZA JEDNOGODIŠNJU NABAVU MEDICINSKOG MATERIJALA ZA POTREBE INTERVENCIJSKE NEURORADIOLOGIJE, GR. I.</t>
  </si>
  <si>
    <t>1.6.2016.
1 godina
2.1.1.-16/537-1</t>
  </si>
  <si>
    <t>MARK MEDICAL d.o.o.</t>
  </si>
  <si>
    <t>1.6.2016.
1 godina
2.1.1.-16/540-1</t>
  </si>
  <si>
    <t>UGOVOR  PO OKVIRNOM SPORAZUMU ZA JEDNOGODIŠNJU NABAVU MEDICINSKOG MATERIJALA ZA POTREBE INTERVENCIJSKE NEURORADIOLOGIJE, GR. IV.</t>
  </si>
  <si>
    <t>Jednogodišnja nabava žarulja za med.uređaje, gr.V</t>
  </si>
  <si>
    <t>Nabava medicinskog potrošnog materijala za potrebe obrade uzoraka tkiva za zakladu Ana Rukavina, gr. IV</t>
  </si>
  <si>
    <t>31.5.2016
2.1.1.-16/520-1
(6 mjeseci)</t>
  </si>
  <si>
    <t>UGOVOR  PO OKVIRNOM SPORAZUMU ZA JEDNOGODIŠNJU NABAVU MEDICINSKOG MATERIJALA ZA POTREBE INTERVENCIJSKE NEURORADIOLOGIJE, GR. II.</t>
  </si>
  <si>
    <t>1.6.2016.
1 godina
2.1.1.-16/538-1</t>
  </si>
  <si>
    <t>1.1.2.A.171</t>
  </si>
  <si>
    <t>2015/S 002-0006553</t>
  </si>
  <si>
    <t>MEDICINA PROMET d.o.o.</t>
  </si>
  <si>
    <t>23.5.2016
2.1.1.-16/516-1
(1 godina)</t>
  </si>
  <si>
    <t>Jednogodišnja nabava reagensa i potrošnog materijala za potrebe laboratorija - Urini,  gr. I</t>
  </si>
  <si>
    <t>23.5.2016
2.1.1.-16/515-1
(1 godina)</t>
  </si>
  <si>
    <t xml:space="preserve">
Jednogodišnja nabava reagensa i potrošnog materijala za potrebe laboratorija - Urini,  gr. II</t>
  </si>
  <si>
    <t>6.6.2016.
2 godine
2.1.1.-16/581-1</t>
  </si>
  <si>
    <t>6.6.2016.
2 godine
2.1.1.-16/579-1</t>
  </si>
  <si>
    <t>UGOVOR  PO OKVIRNOM SPORAZUMU ZA JEDNOGODIŠNJU NABAVU MEDICINSKOG MATERIJALA ZA POTREBE INTERVENCIJSKE NEURORADIOLOGIJE, GR. VIII.</t>
  </si>
  <si>
    <t>1.6.2016.
1 godina
2.1.1.-16/544-1</t>
  </si>
  <si>
    <t>CARDIO MEDICAL ZAGREB d.o.o.</t>
  </si>
  <si>
    <t>Jednogodišnja nabava filtera za klimatizaciju</t>
  </si>
  <si>
    <t>1.2.3.A.1</t>
  </si>
  <si>
    <t>FRAMAGO d.o.o.</t>
  </si>
  <si>
    <t>7.6.2016
2.1.1.-16/549-1
(1 godina)</t>
  </si>
  <si>
    <t>Jednogodišnja nabava kirurškog konca, gr. 3 i 37</t>
  </si>
  <si>
    <t>1.1.2.A.39</t>
  </si>
  <si>
    <t>2015/S 002-0031849</t>
  </si>
  <si>
    <t>8.6.2016
2.1.1.-16/554-1
(1 godina)</t>
  </si>
  <si>
    <t>8.6.2016
2.1.1.-16/555-1
(1 godina)</t>
  </si>
  <si>
    <t>Jednogodišnja nabava kirurškog konca, gr. 8,10,12,19,22,24,29,34 i 36</t>
  </si>
  <si>
    <t>7.6.2016.
1 godina
2.1.1.-16/581-2</t>
  </si>
  <si>
    <t>UGOVOR PO OKVIRNOM SPORAZUMU ZA NABAVU UGRADBENOG I POTROŠNOG MATERIJALA ZA OFTALMOLOGIJU, GR. 6,8,11,13,18,38 i 48</t>
  </si>
  <si>
    <t>Nabava usluge izrade izvedbenog projekta adaptacije prostora dnevne bolnice s jednodnevnom kirurgijom za potrebe zavoda za ginekološku onkologiju</t>
  </si>
  <si>
    <t xml:space="preserve">ARC ARHITEKTONSKI 
CENTAR d.o.o. </t>
  </si>
  <si>
    <t>10.6.2016.
2.1.1.-16/593-1</t>
  </si>
  <si>
    <t>10.6.2016.</t>
  </si>
  <si>
    <t>Jednogodišnja nabava kirurškog konca, gr. 6,9,11,14,15,16,20,25,26,27,30,31,32 i 35</t>
  </si>
  <si>
    <t>8.6.2016
2.1.1.-16/557-1
(1 godina)</t>
  </si>
  <si>
    <t>6.6.2016.
2 godine
2.1.1.-16/580-1</t>
  </si>
  <si>
    <t xml:space="preserve">OKVIRNI SPORAZUM ZA NABAVU UGRADBENOG I POTROŠNOG MATERIJALA ZA OFTALMOLOGIJU, GR.15 </t>
  </si>
  <si>
    <t>UGOVOR PO OKVIRNOM SPORAZUMU ZA NABAVU UGRADBENOG I POTROŠNOG MATERIJALA ZA OFTALMOLOGIJU, GR. 15</t>
  </si>
  <si>
    <t>7.6.2016.
1 godina
2.1.1.-16/580-2</t>
  </si>
  <si>
    <t>OKVIRNI SPORAZUM ZA NABAVU UGRADBENOG I POTROŠNOG MATERIJALA ZA OFTALMOLOGIJU, GR. 6,8,11,13,18,38 i 48</t>
  </si>
  <si>
    <t>OKVIRNI SPORAZUM ZA NABAVU UGRADBENOG I POTROŠNOG MATERIJALA ZA OFTALMOLOGIJU, GR. 24 i 52</t>
  </si>
  <si>
    <t>UGOVOR PO OKVIRNOM SPORAZUMU ZA NABAVU UGRADBENOG I POTROŠNOG MATERIJALA ZA OFTALMOLOGIJU, GR. 24 i 52</t>
  </si>
  <si>
    <t>7.6.2016.
1 godina
2.1.1.-16/579-2</t>
  </si>
  <si>
    <t>OPTINOVA d.o.o.</t>
  </si>
  <si>
    <t>6.6.2016.
2 godine
2.1.1.-16/583-1</t>
  </si>
  <si>
    <t>OKVIRNI SPORAZUM ZA NABAVU UGRADBENOG I POTROŠNOG MATERIJALA ZA OFTALMOLOGIJU, GR. 28, 34 i 36</t>
  </si>
  <si>
    <t>UGOVOR PO OKVIRNOM SPORAZUMU ZA NABAVU UGRADBENOG I POTROŠNOG MATERIJALA ZA OFTALMOLOGIJU, GR. 28, 34 i 36</t>
  </si>
  <si>
    <t>7.6.2016.
1 godina
2.1.1.-16/583-2</t>
  </si>
  <si>
    <t>UGOVOR PO OKVIRNOM SPORAZUMU ZA NABAVU UGRADBENOG I POTROŠNOG MATERIJALA ZA OFTALMOLOGIJU, GR. 47</t>
  </si>
  <si>
    <t>7.6.2016.
1 godina
2.1.1.-16/577-2</t>
  </si>
  <si>
    <t>OKVIRNI SPORAZUM ZA NABAVU UGRADBENOG I POTROŠNOG MATERIJALA ZA OFTALMOLOGIJU, GR. 47</t>
  </si>
  <si>
    <t>6.6.2016.
2 godine
2.1.1.-16/577-1</t>
  </si>
  <si>
    <t>Jednogodišnja nabava posuđa, pribora i ostalih kuhinjskih pomagala, gr. 3 i 5</t>
  </si>
  <si>
    <t>1.5.A.2</t>
  </si>
  <si>
    <t>2016/S 002-0006603</t>
  </si>
  <si>
    <t>16.6.2016
2.1.1.-16/559-1
(1 godina)</t>
  </si>
  <si>
    <t>OPREMA RADMAN d.o.o.</t>
  </si>
  <si>
    <t>OKVIRNI SPORAZUM ZA NABAVU UGRADBENOG I POTROŠNOG MATERIJALA ZA OFTALMOLOGIJU, GR. 4,9,10,12,14,16,17,25,35,49 i 54</t>
  </si>
  <si>
    <t>6.6.2016.
2 godine
2.1.1.-16/582-1</t>
  </si>
  <si>
    <t>DISPOMED PROMET d.o.o.</t>
  </si>
  <si>
    <t>1.1.2.A.67</t>
  </si>
  <si>
    <t>ETIL PROMET d.o.o.</t>
  </si>
  <si>
    <t>20.6.2016
2.1.1.-16/605-1
(1 godina)</t>
  </si>
  <si>
    <t>20.6.2016
2.1.1.-16/606-1
(1 godina)</t>
  </si>
  <si>
    <t>Jednogodišnja nabava etilnog alkohola, gr. I</t>
  </si>
  <si>
    <t>Jednogodišnja nabava etilnog alkohola, gr. II</t>
  </si>
  <si>
    <t>KEMIKA d.d.</t>
  </si>
  <si>
    <t>Jednogodišnja nabava telekomunikacijskih usluga, telekomunikacijske opreme i potrepština, dio predmeta nabave I</t>
  </si>
  <si>
    <t>2.1.1.A.1</t>
  </si>
  <si>
    <t xml:space="preserve">HRVATSKI TELEKOM d.d. </t>
  </si>
  <si>
    <t>13.6.2016
2.1.1.-16/553-1
(1 godina)</t>
  </si>
  <si>
    <t>Ugovor za jednogodišnju uslugu održavanja sustava videonadzora</t>
  </si>
  <si>
    <t>2.2.2.B.16</t>
  </si>
  <si>
    <t>22.6.2016.</t>
  </si>
  <si>
    <t>22.6.2016.
2.1.1.-16/603-1</t>
  </si>
  <si>
    <t>SECURUS d.o.o.</t>
  </si>
  <si>
    <t>6.6.2016.
2 godine
2.1.1.-16/578-1</t>
  </si>
  <si>
    <t>OKVIRNI SPORAZUM ZA NABAVU UGRADBENOG I POTROŠNOG MATERIJALA ZA OFTALMOLOGIJU, GR. 46</t>
  </si>
  <si>
    <t>UGOVOR PO OKVIRNOM SPORAZUMU ZA NABAVU UGRADBENOG I POTROŠNOG MATERIJALA ZA OFTALMOLOGIJU, GR. 46</t>
  </si>
  <si>
    <t>7.6.2016.
1 godina
2.1.1.-16/578-2</t>
  </si>
  <si>
    <t>1.2.4.B.5</t>
  </si>
  <si>
    <t>SAFIR d.o.o.</t>
  </si>
  <si>
    <t>4.7.2016.
2.1.1.-16/664-1</t>
  </si>
  <si>
    <t>4.7.2016.</t>
  </si>
  <si>
    <t>Ugovor za jednogodišnju nabavu baterijskih uložaka</t>
  </si>
  <si>
    <t>Jednogodišnja nabava telekomunikacijskih usluga, telekomunikacijske opreme i ostalih potrepština, gr. II</t>
  </si>
  <si>
    <t>VIPNET d.o.o.</t>
  </si>
  <si>
    <t>2.6.2016
2.1.1.-16/514-1
(1 godina)</t>
  </si>
  <si>
    <t>Nabava usluge izrade izvedbenog projekta uređenja prostora UZV centra s prostorom dnevne bolnice Klinike za bolesti srca i krvnih žila</t>
  </si>
  <si>
    <t>NADA PROJEKT d.o.o.</t>
  </si>
  <si>
    <t>30.6.2016.</t>
  </si>
  <si>
    <t>30.6.2016.
2.1.1.-16/560-1</t>
  </si>
  <si>
    <t>UGOVOR  PO OKVIRNOM SPORAZUMU ZA JEDNOGODIŠNJU NABAVU MEDICINSKOG MATERIJALA ZA POTREBE INTERVENCIJSKE NEURORADIOLOGIJE, GR. V.</t>
  </si>
  <si>
    <t>1.6.2016.
1 godina
2.1.1.-16/541-1</t>
  </si>
  <si>
    <t>Jednogodišnja nabava kirurških implantata za potrebe dječje kirurgije - gr. V</t>
  </si>
  <si>
    <t>E.T.S. d.o.o.</t>
  </si>
  <si>
    <t>6.6.2016.
2.1.1.-16/552-1</t>
  </si>
  <si>
    <t>6.6.2016.</t>
  </si>
  <si>
    <t>UGOVOR PO OKVIRNOM SPORAZUMU ZA NABAVU UGRADBENOG I POTROŠNOG MATERIJALA ZA OFTALMOLOGIJU, GR. 4,9,10,12,14,16,17,25,35,49 i 54</t>
  </si>
  <si>
    <t>7.6.2016.
1 godina
2.1.1.-16/582-2</t>
  </si>
  <si>
    <t>Jednogodišnja nabava medicinskih otopina za potrebe kardijalne kirurgije</t>
  </si>
  <si>
    <t>1.1.2.A.3</t>
  </si>
  <si>
    <t>5.7.2016
2.1.1.-16/646-1
(1 godina)</t>
  </si>
  <si>
    <t>2016/S 002-0007165</t>
  </si>
  <si>
    <t>Jednogodišnja nabava i montaža klima uređaja</t>
  </si>
  <si>
    <t>5.1.B5/3.6</t>
  </si>
  <si>
    <t>RO - TERMO d.o.o.</t>
  </si>
  <si>
    <t>1.7.2016.
2.1.1.-16/645-1</t>
  </si>
  <si>
    <t>1.7.2016.</t>
  </si>
  <si>
    <t>Jednogodišnja usluga reaktivnog i preventivnog servisa volumetrijskih pumpi proizvođača B.Braun Melsungen AG</t>
  </si>
  <si>
    <t>2.2.2.B.4</t>
  </si>
  <si>
    <t>7.7.2016.
2.1.1.-16/643-1</t>
  </si>
  <si>
    <t>7.7.2016.</t>
  </si>
  <si>
    <t>Jednogodišnja usluga servisnog održavanja medicinske opreme proizvođača PENTAX</t>
  </si>
  <si>
    <t>2.2.2.B.112</t>
  </si>
  <si>
    <t>17.6.2016.
2.1.1.-16/607-1</t>
  </si>
  <si>
    <t>17.6.2016.</t>
  </si>
  <si>
    <t>AGROVIR d.o.o.</t>
  </si>
  <si>
    <t>7.7.2016
2.1.1.-16/686-1
(1 godina)</t>
  </si>
  <si>
    <t>TAPESS d.o.o.</t>
  </si>
  <si>
    <t>2016/S 002-0001074</t>
  </si>
  <si>
    <t>1.2.1/2.A.4</t>
  </si>
  <si>
    <t>11.7.2016
2.1.1.-16/648-1
(1 godina)</t>
  </si>
  <si>
    <t>Jednogodišnja nabava materijala za higijenske potrebe</t>
  </si>
  <si>
    <t>UGOVOR ZA JEDNOGODIŠNJU NABAVU PREHRAMBENIH PROIZVODA, GR. 4</t>
  </si>
  <si>
    <t>ZAGREBAČKE PEKARNE KLARA d.d.</t>
  </si>
  <si>
    <t>7.7.2016.
1 godina
2.1.1.-16/689-1</t>
  </si>
  <si>
    <t>VINDIJA d.d.</t>
  </si>
  <si>
    <t>7.7.2016
2.1.1.-16/613-1
(1 godina)</t>
  </si>
  <si>
    <t>7.7.2016
2.1.1.-16/612-1
(1 godina)</t>
  </si>
  <si>
    <t>MEDUZA d.o.o.</t>
  </si>
  <si>
    <t>7.7.2016
2.1.1.-16/687-1
(1 godina)</t>
  </si>
  <si>
    <t>AIPK TRGOVINA d.o.o.</t>
  </si>
  <si>
    <t>7.7.2016
2.1.1.-16/616-1
(1 godina)</t>
  </si>
  <si>
    <t>7.7.2016
2.1.1.-16/614-1
(1 godina)</t>
  </si>
  <si>
    <t>UGOVOR ZA JEDNOGODIŠNJU NABAVU PREHRAMBENIH PROIZVODA, GR. 5</t>
  </si>
  <si>
    <t>UGOVOR ZA JEDNOGODIŠNJU NABAVU PREHRAMBENIH PROIZVODA, GR. 16</t>
  </si>
  <si>
    <t>UGOVOR ZA JEDNOGODIŠNJU NABAVU PREHRAMBENIH PROIZVODA, GR. 1,2,5,7,8,9,14 i 22</t>
  </si>
  <si>
    <t>UGOVOR ZA JEDNOGODIŠNJU NABAVU PREHRAMBENIH PROIZVODA, GR. 4,5 i 7</t>
  </si>
  <si>
    <t>UGOVOR ZA JEDNOGODIŠNJU NABAVU PREHRAMBENIH PROIZVODA, GR. 3 i 4</t>
  </si>
  <si>
    <t>UGOVOR ZA JEDNOGODIŠNJU NABAVU PREHRAMBENIH PROIZVODA, GR. 9,12 i 21</t>
  </si>
  <si>
    <t>DILJEXPORT d.o.o.</t>
  </si>
  <si>
    <t>7.7.2016
2.1.1.-16/617-1
(1 godina)</t>
  </si>
  <si>
    <t>UGOVOR ZA JEDNOGODIŠNJU NABAVU PREHRAMBENIH PROIZVODA, GR. 2,6 i 8</t>
  </si>
  <si>
    <t>7.7.2016
2.1.1.-16/615-1
(1 godina)</t>
  </si>
  <si>
    <t>Nabava sklopivih fotelja za boravak roditelja uz djecu, gr. II</t>
  </si>
  <si>
    <t>5.1.B5/1.6</t>
  </si>
  <si>
    <t>TEHNOPANELI DIZAJN d.o.o.</t>
  </si>
  <si>
    <t>12.7.2016.
2.1.1.-16/658-1</t>
  </si>
  <si>
    <t>12.7.2016.</t>
  </si>
  <si>
    <t>UGOVOR  PO OKVIRNOM SPORAZUMU ZA JEDNOGODIŠNJU NABAVU MEDICINSKOG MATERIJALA ZA POTREBE INTERVENCIJSKE NEURORADIOLOGIJE, GR. VII.</t>
  </si>
  <si>
    <t>1.6.2016
2.1.1.-16/543-1
(1 godina)</t>
  </si>
  <si>
    <t>Jednogodišnja nabava kirurškog konca, gr.13, 28 i 33</t>
  </si>
  <si>
    <t>8.6.2016
2.1.1.-16/648-1
(1 godina)</t>
  </si>
  <si>
    <t>2.2.2.A.72</t>
  </si>
  <si>
    <t>2016/S 002-0009200</t>
  </si>
  <si>
    <t>10.7.2016
2.1.1.-16/650-1
(1 godina)</t>
  </si>
  <si>
    <t>Jednogodišnja usluga servisnog održavanja RTG uređaja RADSPEED SAFIRA proizvođača Shimadzu</t>
  </si>
  <si>
    <t xml:space="preserve">Jednogodišnja nabava višekratnog potrošnog materijala i pribora za potrebe ortopedije i traumatologije, gr. VII, 16.647-1 </t>
  </si>
  <si>
    <t>2016/S 002-0006314</t>
  </si>
  <si>
    <t>5.7.2016
2.1.1.-16/647-1
(1 godina)</t>
  </si>
  <si>
    <t>1.1.2.A.76</t>
  </si>
  <si>
    <t>2016/S 002-0009140</t>
  </si>
  <si>
    <t>5.7.2016
2.1.1.-16/642-2
(1 godina)</t>
  </si>
  <si>
    <t>Jednogodišnja nabava medicinskog potrošnog materijala za potrebe dijagnostike mikobakterija iz tekućih podloga</t>
  </si>
  <si>
    <t>OKVIRNI SPORAZUM ZA NABAVU MEDICINSKOG POTROŠNOG MATERIJALA ZA POTREBE DIJAGNOSTIKE MIKOBAKTERIJA IZ TEKUĆIH PODLOGA</t>
  </si>
  <si>
    <t>4.7.2016.
2 godine
2.1.1.-16/542-1</t>
  </si>
  <si>
    <t>Jednogodišnja usluga servisnog održavanja medicinske opreme i uređaja proizvođača Siemens</t>
  </si>
  <si>
    <t>2016/S 002-0008396</t>
  </si>
  <si>
    <t>SIEMENS HEALTHCARE d.o.o.</t>
  </si>
  <si>
    <t>1.7.2016
2.1.1.-16/649-1
(1 godina)</t>
  </si>
  <si>
    <t>OKVIRNI SPORAZUM ZA NABAVU MEDICINSKOG POTROŠNOG MATERIJALA ZA GASTROENTROLOGIJU - ENDOSKOPIJA VIDEOKAPSULOM (VCE), GR. II</t>
  </si>
  <si>
    <t>12.7.2016.
2 godine
2.1.1.-16/660-1</t>
  </si>
  <si>
    <t>Jednogodišnja nabava medicinskog potrošnog materijala za gastroenterologiju - endoskopija videokapsulom (VCE), gr. II</t>
  </si>
  <si>
    <t>1.1.2.A.36</t>
  </si>
  <si>
    <t>2016/S 002-0002548</t>
  </si>
  <si>
    <t>13.7.2016
2.1.1.-16/660-2
(1 godina)</t>
  </si>
  <si>
    <t>Jendogodišnja nabava višekratnog potrošnog materijala za hitnu medicinu, gr. I, II i III</t>
  </si>
  <si>
    <t>1.1.2.B.7</t>
  </si>
  <si>
    <t>14.7.2016
2.1.1.-16/662-1
(1 godina)</t>
  </si>
  <si>
    <t>28.7.2016.</t>
  </si>
  <si>
    <t>OKVIRNI SPORAZUM ZA NABAVU MEDICINSKOG POTROŠNOG MATERIJALA ZA GASTROENTROLOGIJU - ENDOSKOPIJA VIDEOKAPSULOM (VCE), GR. I</t>
  </si>
  <si>
    <t>12.7.2016.
2 godine
2.1.1.-16/659-1</t>
  </si>
  <si>
    <t>Jednogodišnja nabava medicinskog potrošnog materijala za gastroenterologiju - endoskopija videokapsulom (VCE), gr. I</t>
  </si>
  <si>
    <t>13.7.2016.
2.1.1.-16/659-2
(1 godina)</t>
  </si>
  <si>
    <t>UGOVOR ZA JEDNOGODIŠNJU NABAVU PREHRAMBENIH PROIZVODA, GR. 10,11,12,13,18,20 i 21</t>
  </si>
  <si>
    <t>7.7.2016
2.1.1.-16/688-1
(1 godina)</t>
  </si>
  <si>
    <t>DUKAT d.d.</t>
  </si>
  <si>
    <t>Izrada tehničke dokumentacije izvedbenog projekta sustava dojave požara</t>
  </si>
  <si>
    <t>SHEMA d.o.o.</t>
  </si>
  <si>
    <t>17.6.2016.
2.1.1.-16/604-1
(1 godina)</t>
  </si>
  <si>
    <t>Jednogodišnja usluga servisnog održavanja sustava za sterilizaciju, gr. II</t>
  </si>
  <si>
    <t>1.1.2.A.32</t>
  </si>
  <si>
    <t>2016/S 002-0001033</t>
  </si>
  <si>
    <t>14.7.2016.
2.1.1.-16/661-1
(1 godina)</t>
  </si>
  <si>
    <t>Jednogodišnja nabava medicinskog instrumentarija i pribora za potrebe KBC-a Zagreb, gr. III</t>
  </si>
  <si>
    <t>OMNIMED d.o.o.</t>
  </si>
  <si>
    <t>12.7.2016.
2.1.1.-16/655-1</t>
  </si>
  <si>
    <t>Jednogodišnja nabava medicinskog instrumentarija i pribora za potrebe KBC-a Zagreb, gr. II</t>
  </si>
  <si>
    <t>12.7.2016.
2.1.1.-16/654-1</t>
  </si>
  <si>
    <t>UGOVOR ZA JEDNOGODIŠNJU NABAVU PREHRAMBENIH PROIZVODA, GR. 1,2,3,6,8 i 10</t>
  </si>
  <si>
    <t>VELPRO CENTAR d.o.o.</t>
  </si>
  <si>
    <t>7.7.2016
2.1.1.-16/608-1
(1 godina)</t>
  </si>
  <si>
    <t>7.7.2016
2.1.1.-16/611-1
(1 godina)</t>
  </si>
  <si>
    <t>UGOVOR ZA JEDNOGODIŠNJU NABAVU PREHRAMBENIH PROIZVODA, GR. 1,3,4,5 i 7</t>
  </si>
  <si>
    <t>7.7.2016
2.1.1.-16/610-1
(1 godina)</t>
  </si>
  <si>
    <t>UGOVOR ZA JEDNOGODIŠNJU NABAVU PREHRAMBENIH PROIZVODA, GR. 15 i 17</t>
  </si>
  <si>
    <t>7.7.2016
2.1.1.-16/609-1
(1 godina)</t>
  </si>
  <si>
    <t>UGOVOR ZA JEDNOGODIŠNJU NABAVU PREHRAMBENIH PROIZVODA, GR. 1,2,3,6,7,8,10,14,16,17,18,19,20,22 i 23</t>
  </si>
  <si>
    <t>7.7.2016
2.1.1.-16/602-1
(1 godina)</t>
  </si>
  <si>
    <t>Jednogodišnja usluga održavanja UPS sustava</t>
  </si>
  <si>
    <t>28.7.2016.
2.1.1.-16/715-1</t>
  </si>
  <si>
    <t>2.2.1.B.6</t>
  </si>
  <si>
    <t>CEPETIĆ d.o.o.</t>
  </si>
  <si>
    <t>15.7.2016.</t>
  </si>
  <si>
    <t>15.7.2016.
2.1.1.-16/656-1</t>
  </si>
  <si>
    <t>Godišnji servis rashladnika vode na lokacija KBC-a Zagreb</t>
  </si>
  <si>
    <t>Nabava radova na uređenju kongenitalne kardijalne kirurgije, gr. I</t>
  </si>
  <si>
    <t>2.2.1.B.47</t>
  </si>
  <si>
    <t>LETINA CONSTRUCTUM d.o.o.</t>
  </si>
  <si>
    <t>1.8.2016.</t>
  </si>
  <si>
    <t>1.8.2016.
2.1.1.-16/719-1</t>
  </si>
  <si>
    <t>Nabava usluge testa integriteta Hepa filtera za čiste prostore</t>
  </si>
  <si>
    <t>2.2.1.B.48</t>
  </si>
  <si>
    <t>2.2.1.B.40</t>
  </si>
  <si>
    <t>12.7.2016.
2.1.1.-16/652-1</t>
  </si>
  <si>
    <t>Nabava radova na sanaciji dimnjaka u kotlovnici Petrova</t>
  </si>
  <si>
    <t>MI-MARIS d.o.o.</t>
  </si>
  <si>
    <t>1.8.2016.
2.1.1.-16/717-1</t>
  </si>
  <si>
    <t>2.7.B.32</t>
  </si>
  <si>
    <t>Nabava usluge izrade projektne dokumentacije za uređenje prostora za smještaj dva CT uređaja</t>
  </si>
  <si>
    <t>1.8.2016.
2.1.1.-16/716-1</t>
  </si>
  <si>
    <t>Jednogodišnja nabava medicinskog potrošnog materijala za elektrofiziologiju srca za potrebe kardiologije, gr. I</t>
  </si>
  <si>
    <t>2016/S 002-0006350</t>
  </si>
  <si>
    <t>20.7.2016.
2.1.1.-16/668-1
(1 godina)</t>
  </si>
  <si>
    <t>20.7.2016.</t>
  </si>
  <si>
    <t>Jednogodišnja nabava medicinskog potrošnog materijala za elektrofiziologiju srca za potrebe kardiologije, gr. II</t>
  </si>
  <si>
    <t>20.7.2016.
2.1.1.-16/669-1
(1 godina)</t>
  </si>
  <si>
    <t>Jednogodišnja nabava medicinskog potrošnog materijala za elektrofiziologiju srca za potrebe kardiologije, gr. III, IV i V</t>
  </si>
  <si>
    <t>20.7.2016.
2.1.1.-16/670-1
(1 godina)</t>
  </si>
  <si>
    <t>Jednogodišnja nabava medicinskog potrošnog materijala za elektrofiziologiju srca za potrebe kardiologije, gr. VI</t>
  </si>
  <si>
    <t>20.7.2016.
2.1.1.-16/671-1
(1 godina)</t>
  </si>
  <si>
    <t>Jednogodišnja nabava medicinskog potrošnog materijala za elektrofiziologiju srca za potrebe kardiologije, gr. VII</t>
  </si>
  <si>
    <t>20.7.2016.
2.1.1.-16/672-1
(1 godina)</t>
  </si>
  <si>
    <t>Jednogodišnja nabava medicinskog potrošnog materijala za elektrofiziologiju srca za potrebe kardiologije, gr. VIII i XI</t>
  </si>
  <si>
    <t>20.7.2016.
2.1.1.-16/673-1
(1 godina)</t>
  </si>
  <si>
    <t>Jednogodišnja nabava medicinskog potrošnog materijala za elektrofiziologiju srca za potrebe kardiologije, gr. IX</t>
  </si>
  <si>
    <t>BORMIAMED d.o.o.</t>
  </si>
  <si>
    <t>20.7.2016.
2.1.1.-16/674-1
(1 godina)</t>
  </si>
  <si>
    <t>Jednogodišnja nabava medicinskog potrošnog materijala za laserski uređaj za potrebe urologije</t>
  </si>
  <si>
    <t>1.1.2.A.176</t>
  </si>
  <si>
    <t>2016/S 002-0009260</t>
  </si>
  <si>
    <t>SALUS-MED d.o.o.</t>
  </si>
  <si>
    <t>28.7.2016.
2.1.1.-16/678-1
(1 godina)</t>
  </si>
  <si>
    <t>1.1.2.A.81</t>
  </si>
  <si>
    <t>2016/S 002-0009379</t>
  </si>
  <si>
    <t>10.8.2016.
2.1.1.-16/771-2
(1 godina)</t>
  </si>
  <si>
    <t>OKVIRNI SPORAZUM ZA JEDNOGODIŠNJU NABAVU MED. POTROŠNOG MATERIJALA ZA POTREBE PATOLOGIJE</t>
  </si>
  <si>
    <t>8.8.2016.
2 godine
2.1.1.-16/771-1</t>
  </si>
  <si>
    <t>NABAVA UGRADBENOG I POTROŠNOG MATERIJALA ZA INVAZIVNU I INTERVENCIJSKU KARDIOLOGIJU, GR. VIII</t>
  </si>
  <si>
    <t>3.8.2016
2.1.1.-16/759-1
(1 godina)</t>
  </si>
  <si>
    <t>Jednogodišnja nabava oksigenatora za potrebe kardijalne kirurgije, gr. II</t>
  </si>
  <si>
    <t>2016/S 002-0004524</t>
  </si>
  <si>
    <t>1.8.2016.
2.1.1.-16/714-1
(1 godina)</t>
  </si>
  <si>
    <t>Medicinski potrošni materijal za potrebe patologije II</t>
  </si>
  <si>
    <t>Jednogodišnja nabava oksigenatora za potrebe kardijalne kirurgije, gr. III</t>
  </si>
  <si>
    <t>1.8.2016.
2.1.1.-16/713-1
(1 godina)</t>
  </si>
  <si>
    <t>M.T.F. d.o.o.</t>
  </si>
  <si>
    <t>OKVIRNI SPORAZUM ZA NABAVU LIJEKOVA - IV</t>
  </si>
  <si>
    <t>Nabava CTG uređaja za potrebe ginekologije</t>
  </si>
  <si>
    <t>5.1.B5/1.7</t>
  </si>
  <si>
    <t>EKSA GRUPA d.o.o.</t>
  </si>
  <si>
    <t>16.8.2016.
2.1.1.-16/774-1</t>
  </si>
  <si>
    <t>16.8.2016.</t>
  </si>
  <si>
    <t>2016/S 002-0007197</t>
  </si>
  <si>
    <t>8.8.2016.
2.1.1.-16/747-1
(1 godina)</t>
  </si>
  <si>
    <t>8.8.2016.</t>
  </si>
  <si>
    <t>Nabava medicinskog potrošnog materijala za liječenj bubrega - za uporabu u urologiji, gr. I</t>
  </si>
  <si>
    <t>Nabava medicinskog potrošnog materijala za liječenj bubrega - za uporabu u urologiji, gr. X</t>
  </si>
  <si>
    <t>8.8.2016.
2.1.1.-16/749-1
(1 godina)</t>
  </si>
  <si>
    <t>8.8.2016.
2.1.1.-16/751-1
(1 godina)</t>
  </si>
  <si>
    <t>OKVIRNI SPORAZUM ZA NABAVU MEDICINSKOG POTROŠNOG MATERIJALA ZA POTREBE MIKROBIOLOGIJE II, GR. I</t>
  </si>
  <si>
    <t>20.7.2016.
2 godine
2.1.1.-16/709-1</t>
  </si>
  <si>
    <t>OKVIRNI SPORAZUM ZA NABAVU MEDICINSKOG POTROŠNOG MATERIJALA ZA POTREBE MIKROBIOLOGIJE II, GR. II</t>
  </si>
  <si>
    <t>20.7.2016.
2 godine
2.1.1.-16/710-1</t>
  </si>
  <si>
    <t>Jednogodišnja nabava medicibskog potrošnog materijala za potrebe mikrobiologije II, gr. I</t>
  </si>
  <si>
    <t>2016/S 002-0008405</t>
  </si>
  <si>
    <t>21.7.2016.
2.1.1.-16/709-2
(1 godina)</t>
  </si>
  <si>
    <t>Jednogodišnja nabava medicibskog potrošnog materijala za potrebe mikrobiologije II, gr. II</t>
  </si>
  <si>
    <t>21.7.2016.
2.1.1.-16/710-2
(1 godina)</t>
  </si>
  <si>
    <t>Jednogodišnja nabava medicinskog potrošnog materijala za potrebe mikrobiologije II, gr. VI</t>
  </si>
  <si>
    <t>20.1.2016.
2.1.1.-16/134-1
(1 godina)</t>
  </si>
  <si>
    <t>OKVIRNI SPORAZUM ZA NABAVU REAGENSA I TESTOVA ZA ANALIZU LABORATORIJSKIH KRVNIH PARAMETARA</t>
  </si>
  <si>
    <t>1.8.2016.
2 godine
2.1.1.-16/720-1</t>
  </si>
  <si>
    <t>Jednogodišnja nabava reagensa i testova za analizu laboratorijskih krvnih parametara</t>
  </si>
  <si>
    <t>1.1.2.A.156</t>
  </si>
  <si>
    <t>2016/S 002-0011013</t>
  </si>
  <si>
    <t>2.8.2016.
2.1.1.-16/720-2
(1 godina)</t>
  </si>
  <si>
    <t>OKVIRNI SPORAZUM ZA NABAVU REAGENSA I TESTOVA ZA POTREBE LABORATORIJSKE DIJAGNOSTIKE - 4, GR. I</t>
  </si>
  <si>
    <t>8.8.2016.
2 godine
2.1.1.-16/746-1</t>
  </si>
  <si>
    <t>Nabava reagensa i testova za potrebe laboratorijske dijagnostike - 4, gr. I</t>
  </si>
  <si>
    <t>1.1.2.A.87</t>
  </si>
  <si>
    <t>2016/S 002-0007344</t>
  </si>
  <si>
    <t>9.8.2016.
2.1.1.-16/746-2
(1 godina)</t>
  </si>
  <si>
    <t>Nabava medicinskog potrošnog materijala za liječenje bubrega - za uporabu u urologiji, gr. XIII</t>
  </si>
  <si>
    <t>1.1.2.A.146</t>
  </si>
  <si>
    <t>2016/S 002-0007018</t>
  </si>
  <si>
    <t>Jednogodišnja nabava potrošnog materijala za potrebe laboratorijske dijagnostike, gr. I, II, III, IX, X, XIV, XXII, XXIII, XXV i XXIX</t>
  </si>
  <si>
    <t>1.8.2016.
2.1.1.-16/736-1
(1 godina)</t>
  </si>
  <si>
    <t>Jednogodišnja nabava potrošnog materijala za potrebe laboratorijske dijagnostike, gr. VII, VIII i XXXIV</t>
  </si>
  <si>
    <t>1.8.2016.
2.1.1.-16/738-1
(1 godina)</t>
  </si>
  <si>
    <t>Jednogodišnja nabava potrošnog materijala za potrebe laboratorijske dijagnostike, gr. XVIII, XIX i XXXIII</t>
  </si>
  <si>
    <t>1.8.2016.
2.1.1.-16/739-1
(1 godina)</t>
  </si>
  <si>
    <t>Jednogodišnja nabava potrošnog materijala za potrebe laboratorijske dijagnostike, gr. XX</t>
  </si>
  <si>
    <t>COPAN ZAGREB d.o.o.</t>
  </si>
  <si>
    <t>1.8.2016.
2.1.1.-16/740-1
(1 godina)</t>
  </si>
  <si>
    <t>Jednogodišnja nabava potrošnog materijala za potrebe laboratorijske dijagnostike, gr. IV, XXVII, XXVIII i XXX</t>
  </si>
  <si>
    <t>1.8.2016.
2.1.1.-16/737-1
(1 godina)</t>
  </si>
  <si>
    <t>NABAVA UGRADBENOG I POTROŠNOG MATERIJALA ZA INVAZIVNU I INTERVENCIJSKU KARDIOLOGIJU, GR. XV</t>
  </si>
  <si>
    <t>3.8.2016
2.1.1.-16/769-1
(1 godina)</t>
  </si>
  <si>
    <t>Jednogodišnje obavljanje radova na sanaciji ravnih krovova na lokacijama KBC-a Zagreb</t>
  </si>
  <si>
    <t>2.2.1.B.56</t>
  </si>
  <si>
    <t>OBRT MAJERIĆ</t>
  </si>
  <si>
    <t>15.7.2016.
2.1.1.-16/663-1</t>
  </si>
  <si>
    <t>UGOVOR PO OKVIRNOM SPORAZUMU ZA NABAVU UGRADBENOG I POTROŠNOG MATERIJALA ZA OFTALMOLOGIJU, GR. I</t>
  </si>
  <si>
    <t>20.7.2016
2.1.1.-16/666-1
(1 godina)</t>
  </si>
  <si>
    <t>RETINA-ORL CENTAR ZAGREB d.o.o.</t>
  </si>
  <si>
    <t>UGOVOR PO OKVIRNOM SPORAZUMU ZA NABAVU UGRADBENOG I POTROŠNOG MATERIJALA ZA OFTALMOLOGIJU, GR. II</t>
  </si>
  <si>
    <t>20.7.2016
2.1.1.-16/667-1
(1 godina)</t>
  </si>
  <si>
    <t>Jednogodišnja nabava medicinskog potrošnog materijala za potrebe neurologije, gr. XIII</t>
  </si>
  <si>
    <t>Jednogodišnja nabava generatora pulsa za potrebe neurologije</t>
  </si>
  <si>
    <t>1.1.2.A.62</t>
  </si>
  <si>
    <t>2016/S 002-0008292</t>
  </si>
  <si>
    <t>20.7.2016.
2.1.1.-16/708-1
(1 godina)</t>
  </si>
  <si>
    <t>Jednogodišnja nabava potrošnog materijala za dezinsekciju i deratizaciju, gr. I (insekticidi) i II (pesticidi)</t>
  </si>
  <si>
    <t>1.1.2.B.15</t>
  </si>
  <si>
    <t>20.7.2016.
2.1.1.-16/676-1</t>
  </si>
  <si>
    <t>JEDNOGODIŠNJA NABAVA VREĆA ZA SMEĆE</t>
  </si>
  <si>
    <t>20.7.2016
2.1.1.-16/675-1
(1 godina)</t>
  </si>
  <si>
    <t>NABAVA USLUGE ČIŠĆENJA PROSTORA NA LOKACIJI KBC-a ZAGREB</t>
  </si>
  <si>
    <t>EKO FOKUS d.o.o.</t>
  </si>
  <si>
    <t>25.7.2016
2.1.1.-16/744-1
(1 godina)</t>
  </si>
  <si>
    <t>Jednogodišnja usluga servisnog održavanja medicinskih uređaja proizvođača Quinton, SunTech medical, Cortex i Zoll</t>
  </si>
  <si>
    <t>2.2.2.B.111</t>
  </si>
  <si>
    <t>KARDIAN d.o.o.</t>
  </si>
  <si>
    <t>1.8.2016.
2.1.1.-16/665-1</t>
  </si>
  <si>
    <t>JEDNOGODIŠNJA NABAVA MEDICINSKIH PLINOVA I OSTALIH PLINOVA KOJE KORISTE ZDRAVSTVENE USTANOVE</t>
  </si>
  <si>
    <t>23.7.2016
2.1.1.-16/690-1
(1 godina)</t>
  </si>
  <si>
    <t>MESSER CROATIA PLIN d.o.o.</t>
  </si>
  <si>
    <t>Jednogodišnja usluga zaštite od ionizirajućeg zračenja, gr. II</t>
  </si>
  <si>
    <t>2.2.4.A.1</t>
  </si>
  <si>
    <t>2016/S 002-0009818</t>
  </si>
  <si>
    <t>INSTITUT ZA MED. ISTRAŽIVANJA
 I MEDICINU RADA</t>
  </si>
  <si>
    <t>28.7.2016.
2.1.1.-16/712-1
(1 godina)</t>
  </si>
  <si>
    <t>2.5.B.5</t>
  </si>
  <si>
    <t>18.8.2016.</t>
  </si>
  <si>
    <t>INSTITUT RUĐER BOŠKOVIĆ</t>
  </si>
  <si>
    <t>1.8.2016.
2.1.1.-16/711-1
(1 godina)</t>
  </si>
  <si>
    <t>Jednogodišnja usluga zaštite od ionizirajućeg zračenja, gr. I i III</t>
  </si>
  <si>
    <t>Jednogodišnja nabava zavojnog materijala - 2, gr. I, V i VI</t>
  </si>
  <si>
    <t>1.1.2.A.2</t>
  </si>
  <si>
    <t>2016/S 002-0008332</t>
  </si>
  <si>
    <t>19.8.2016.
2.1.1.-16/780-1
(1 godina)</t>
  </si>
  <si>
    <t>Nabava medicinskog potrošnog materijala za liječenje bubrega - za uporabu u urologiji, gr. III</t>
  </si>
  <si>
    <t>8.8.2016.
2.1.1.-16/748-1
(1 godina)</t>
  </si>
  <si>
    <t>Nabava panela za funkcionalnu genomiku</t>
  </si>
  <si>
    <t>2016/S 002-0010981</t>
  </si>
  <si>
    <t>KEMOMED d.o.o.</t>
  </si>
  <si>
    <t>22.8.2016.
2.1.1.-16/772-2
(1 godina)</t>
  </si>
  <si>
    <t>OKVIRNI SPORAZUM ZA NABAVU PANELA ZA FUNKCIONALNU
 GENOMIKU</t>
  </si>
  <si>
    <t>19.8.2016.
2 godine
2.1.1.-16/772-1</t>
  </si>
  <si>
    <t>NABAVA UGRADBENOG I POTROŠNOG MATERIJALA ZA INVAZIVNU I INTERVENCIJSKU KARDIOLOGIJU, GR. II</t>
  </si>
  <si>
    <t>3.8.2016
2.1.1.-16/754-1
(1 godina)</t>
  </si>
  <si>
    <t>NABAVA UGRADBENOG I POTROŠNOG MATERIJALA ZA INVAZIVNU I INTERVENCIJSKU KARDIOLOGIJU, GR. III</t>
  </si>
  <si>
    <t>3.8.2016
2.1.1.-16/755-1
(1 godina)</t>
  </si>
  <si>
    <t>NABAVA UGRADBENOG I POTROŠNOG MATERIJALA ZA INVAZIVNU I INTERVENCIJSKU KARDIOLOGIJU, GR. IV</t>
  </si>
  <si>
    <t>3.8.2016
2.1.1.-16/756-1
(1 godina)</t>
  </si>
  <si>
    <t>NABAVA UGRADBENOG I POTROŠNOG MATERIJALA ZA INVAZIVNU I INTERVENCIJSKU KARDIOLOGIJU, GR. VI</t>
  </si>
  <si>
    <t>3.8.2016
2.1.1.-16/757-1
(1 godina)</t>
  </si>
  <si>
    <t>NABAVA UGRADBENOG I POTROŠNOG MATERIJALA ZA INVAZIVNU I INTERVENCIJSKU KARDIOLOGIJU, GR. VII</t>
  </si>
  <si>
    <t>3.8.2016
2.1.1.-16/758-1
(1 godina)</t>
  </si>
  <si>
    <t>NABAVA UGRADBENOG I POTROŠNOG MATERIJALA ZA INVAZIVNU I INTERVENCIJSKU KARDIOLOGIJU, GR. IX i XIV</t>
  </si>
  <si>
    <t>3.8.2016
2.1.1.-16/760-1
(1 godina)</t>
  </si>
  <si>
    <t>NABAVA UGRADBENOG I POTROŠNOG MATERIJALA ZA INVAZIVNU I INTERVENCIJSKU KARDIOLOGIJU, GR. X</t>
  </si>
  <si>
    <t>3.8.2016
2.1.1.-16/765-1
(1 godina)</t>
  </si>
  <si>
    <t>KEFO d.o.o.</t>
  </si>
  <si>
    <t>NABAVA UGRADBENOG I POTROŠNOG MATERIJALA ZA INVAZIVNU I INTERVENCIJSKU KARDIOLOGIJU, GR. XII</t>
  </si>
  <si>
    <t>3.8.2016
2.1.1.-16/767-1
(1 godina)</t>
  </si>
  <si>
    <t>NABAVA UGRADBENOG I POTROŠNOG MATERIJALA ZA INVAZIVNU I INTERVENCIJSKU KARDIOLOGIJU, GR. XI i XIX</t>
  </si>
  <si>
    <t>3.8.2016
2.1.1.-16/766-1
(1 godina)</t>
  </si>
  <si>
    <t>NABAVA UGRADBENOG I POTROŠNOG MATERIJALA ZA INVAZIVNU I INTERVENCIJSKU KARDIOLOGIJU, GR. XVI</t>
  </si>
  <si>
    <t>3.8.2016
2.1.1.-16/770-1
(1 godina)</t>
  </si>
  <si>
    <t>SHIMADZU d.o.o.</t>
  </si>
  <si>
    <t>17.8.2016.
2.1.1.-16/838-1</t>
  </si>
  <si>
    <t>17.8.2016.</t>
  </si>
  <si>
    <t>ZAGREB, KIŠPATIĆEVA 12</t>
  </si>
  <si>
    <t>OKVIRNI SPORAZUM ZA JEDNOGODIŠNJU
 NABAVU LIJEKOVA - II</t>
  </si>
  <si>
    <t>OKVIRNI SPORAZUM ZA JEDNOGODIŠNJU
 NABAVU LIJEKOVA - I</t>
  </si>
  <si>
    <t>OKVIRNI SPORAZUM ZA JEDNOGODIŠNJU
 NABAVU LIJEKOVA - VI</t>
  </si>
  <si>
    <t>1.1.2.A.185</t>
  </si>
  <si>
    <t>JEDNOGODIŠNJA NABAVA MEDICINSKOG POTROŠNOG MATERIJALA ZA UPORABU U ORTOPEDIJI - ORTOPEDSKI IMPLANTATI, GR. 18 i 19</t>
  </si>
  <si>
    <t>29.8.2016
2.1.1.-16/835-1
(1 godina)</t>
  </si>
  <si>
    <t>1.1.A.1</t>
  </si>
  <si>
    <t>OKVIRNI SPORAZUM ZA JEDNOGODIŠNJU
 NABAVU LIJEKOVA - GENERIČKE PARALELE - II, GR. 67</t>
  </si>
  <si>
    <t>OKVIRNI SPORAZUM ZA JEDNOGODIŠNJU
 NABAVU LIJEKOVA - GENERIČKE PARALELE- II, GR. 45, 47 i 48</t>
  </si>
  <si>
    <t>OKVIRNI SPORAZUM ZA JEDNOGODIŠNJU
 NABAVU LIJEKOVA - GENERIČKE PARALELE - II, GR. 55, 56,57, 69, 70, 71,
72, 73, 74, 76, 77 i 83</t>
  </si>
  <si>
    <t>OKVIRNI SPORAZUM ZA JEDNOGODIŠNJU
 NABAVU LIJEKOVA - GENERIČKE PARALELE - X, GR. 386, 407 i 417</t>
  </si>
  <si>
    <t>OKVIRNI SPORAZUM ZA JEDNOGODIŠNJU
 NABAVU LIJEKOVA - GENERIČKE PARALELE - X, GR. 389, 390, 391, 395, 396, 403, 404, 405, 413, 414, 425</t>
  </si>
  <si>
    <t>OKVIRNI SPORAZUM ZA JEDNOGODIŠNJU
 NABAVU LIJEKOVA - GENERIČKE PARALELE - X, GR. 399, 410, 411, 412 i 422</t>
  </si>
  <si>
    <t>Jednogodišnja nabava višekratnog elektrokirurškog potrošnog materijala, gr. I</t>
  </si>
  <si>
    <t>1.4.1.A.2</t>
  </si>
  <si>
    <t>2016/S 002-0009537</t>
  </si>
  <si>
    <t>29.8.2016.
2.1.1.-16/817-1
(1 godina)</t>
  </si>
  <si>
    <t>Jednogodišnja nabava medicinskog potrošnog materijala za potrebe kardijalne kirurgije, gr. V</t>
  </si>
  <si>
    <t>2016/S 002-004570</t>
  </si>
  <si>
    <t>29.8.2016.
2.1.1.-16/828-1
(1 godina)</t>
  </si>
  <si>
    <t>Jednogodišnja nabava medicinskog potrošnog materijala za potrebe kardijalne kirurgije, gr. VI</t>
  </si>
  <si>
    <t>29.8.2016.
2.1.1.-16/829-1
(1 godina)</t>
  </si>
  <si>
    <t>PHARMACIA LABORATORIJ d.o.o.</t>
  </si>
  <si>
    <t>Nabava medicinskog potrošnog materijala za liječenje bubrega - za uporabu u urologiji, gr. XII i XIV</t>
  </si>
  <si>
    <t>ICEBERG INTERNATIONAL 
TRADING d.o.o.</t>
  </si>
  <si>
    <t>8.8.2016.
2.1.1.-16/750-1
(1 godina)</t>
  </si>
  <si>
    <t>NABAVA UGRADBENOG I POTROŠNOG MATERIJALA ZA INVAZIVNU I INTERVENCIJSKU KARDIOLOGIJU, GR. XX</t>
  </si>
  <si>
    <t>PHARMACOL d.o.o.</t>
  </si>
  <si>
    <t>3.8.2016
2.1.1.-16/771-1
(1 godina)</t>
  </si>
  <si>
    <t>Nabava mikroskopa za FISH analizu</t>
  </si>
  <si>
    <t>Jednogodišnja nabava višekratnog pribora za pozivioniranje i fiksaciju pacijenata u radioterapiji, gr. II</t>
  </si>
  <si>
    <t>MEDICEM SERVIS d.o.o.</t>
  </si>
  <si>
    <t>18.8.2016.
2.1.1.-16/779-1</t>
  </si>
  <si>
    <t>Jednogodišnja nabava medicinskog potrošnog materijala za potrebe kardijalne kirurgije, gr. IX</t>
  </si>
  <si>
    <t>29.8.2016.
2.1.1.-16/830-1
(1 godina)</t>
  </si>
  <si>
    <t>Nabava reagensa i testova za potrebe laboratorijske dijagnostike - hematologija, gr. I</t>
  </si>
  <si>
    <t>1.1.2.A.177</t>
  </si>
  <si>
    <t>2016/S 002-0002999</t>
  </si>
  <si>
    <t>MES d.o.o.</t>
  </si>
  <si>
    <t>30.8.2016.
2.1.1.-16/845-2
(1 godina)</t>
  </si>
  <si>
    <t>OKVIRNI SPORAZUM ZA NABAVU REAGENSA I TESTOVA ZA 
POTREBE LABORATORIJSKE DIJAGNOSTIKE - HEMATOLOGIJA, GR.I</t>
  </si>
  <si>
    <t>29.8.2016.
2 godine
2.1.1.-16/845-1</t>
  </si>
  <si>
    <t>OKVIRNI SPORAZUM ZA NABAVU REAGENSA I TESTOVA ZA 
POTREBE LABORATORIJSKE DIJAGNOSTIKE - HEMATOLOGIJA, GR.III</t>
  </si>
  <si>
    <t>29.8.2016.
2 godine
2.1.1.-16/847-1</t>
  </si>
  <si>
    <t>Nabava reagensa i testova za potrebe laboratorijske dijagnostike - hematologija, gr. III</t>
  </si>
  <si>
    <t>30.8.2016.
2.1.1.-16/847-2
(1 godina)</t>
  </si>
  <si>
    <t>Jendogodišnja nabava soli - tabletirana sol</t>
  </si>
  <si>
    <t>ZAPREŠIĆANKA d.o.o.</t>
  </si>
  <si>
    <t>18.7.2016.</t>
  </si>
  <si>
    <t>18.7.2016.
2.1.1.-16/677-1</t>
  </si>
  <si>
    <t>25.8.2016.
2.1.1.-16/856-1</t>
  </si>
  <si>
    <t>25.8.2016.</t>
  </si>
  <si>
    <t>Nabava usluge održavanja kotlovnica i plamenika na lokacijama KBC-a Zagreb, gr. I</t>
  </si>
  <si>
    <t>Jednogodišnja nabava epruveta s potlakom, gr. III</t>
  </si>
  <si>
    <t>2016/S 002-0012692</t>
  </si>
  <si>
    <t>29.8.2016.
2.1.1.-16/816-1
(1 godina)</t>
  </si>
  <si>
    <t>Jednogodišnja nabava višekratnog elektrokirurškog potrošnog materijala, gr. II</t>
  </si>
  <si>
    <t>29.8.2016.
2.1.1.-16/818-1
(1 godina)</t>
  </si>
  <si>
    <t>1.1.2.A.44</t>
  </si>
  <si>
    <r>
      <rPr>
        <b/>
        <sz val="10"/>
        <rFont val="Arial"/>
        <family val="2"/>
        <charset val="238"/>
      </rPr>
      <t>2. UGOVOR</t>
    </r>
    <r>
      <rPr>
        <sz val="10"/>
        <rFont val="Arial"/>
        <family val="2"/>
        <charset val="238"/>
      </rPr>
      <t xml:space="preserve"> PO OKVIRNOM SPORAZUMU OS br. 05/14 ZA NABAVU UGRADBENOG I POTROŠNOG MATERIJALA ZA GASTROENTEROLOGIJU, GRUPA 4-2</t>
    </r>
  </si>
  <si>
    <r>
      <rPr>
        <b/>
        <sz val="10"/>
        <rFont val="Arial"/>
        <family val="2"/>
        <charset val="238"/>
      </rPr>
      <t>2. UGOVOR</t>
    </r>
    <r>
      <rPr>
        <sz val="10"/>
        <rFont val="Arial"/>
        <family val="2"/>
        <charset val="238"/>
      </rPr>
      <t xml:space="preserve"> PO OKVIRNOM SPORAZUMU OS br. 06/14 ZA NABAVU UGRADBENOG I POTROŠNOG MATERIJALA ZA GASTROENTEROLOGIJU, GRUPA 9-4</t>
    </r>
  </si>
  <si>
    <r>
      <rPr>
        <b/>
        <sz val="10"/>
        <rFont val="Arial"/>
        <family val="2"/>
        <charset val="238"/>
      </rPr>
      <t>2. UGOVOR</t>
    </r>
    <r>
      <rPr>
        <sz val="10"/>
        <rFont val="Arial"/>
        <family val="2"/>
        <charset val="238"/>
      </rPr>
      <t xml:space="preserve"> PO OKVIRNOM SPORAZUMU OS br. 03/14 ZA NABAVU UGRADBENOG I POTROŠNOG MATERIJALA ZA GASTROENTEROLOGIJU, GRUPA 1</t>
    </r>
  </si>
  <si>
    <r>
      <rPr>
        <b/>
        <sz val="10"/>
        <rFont val="Arial"/>
        <family val="2"/>
        <charset val="238"/>
      </rPr>
      <t>2. UGOVOR</t>
    </r>
    <r>
      <rPr>
        <sz val="10"/>
        <rFont val="Arial"/>
        <family val="2"/>
        <charset val="238"/>
      </rPr>
      <t xml:space="preserve"> PO OKVIRNOM SPORAZUMU OS br. 07/14 ZA NABAVU UGRADBENOG I POTROŠNOG MATERIJALA ZA GASTROENTEROLOGIJU, GRUPA 15-2</t>
    </r>
  </si>
  <si>
    <t>1.1.2.A.55</t>
  </si>
  <si>
    <t>OKVIRNI SPORAZUM ZA NABAVU UGRADBENOG I POTROŠNOG MATERIJALA ZA INVAZIVNU I INTERVENCIJSKU KARDIOLOGIJU, GR. II</t>
  </si>
  <si>
    <t>OKVIRNI SPORAZUM ZA NABAVU UGRADBENOG I POTROŠNOG MATERIJALA ZA INVAZIVNU I INTERVENCIJSKU KARDIOLOGIJU, GR. III</t>
  </si>
  <si>
    <t>OKVIRNI SPORAZUM ZA NABAVU UGRADBENOG I POTROŠNOG MATERIJALA ZA INVAZIVNU I INTERVENCIJSKU KARDIOLOGIJU, GR. IV</t>
  </si>
  <si>
    <t>OKVIRNI SPORAZUM ZA NABAVU UGRADBENOG I POTROŠNOG MATERIJALA ZA INVAZIVNU I INTERVENCIJSKU KARDIOLOGIJU, GR. VI</t>
  </si>
  <si>
    <t>OKVIRNI SPORAZUM ZA NABAVU UGRADBENOG I POTROŠNOG MATERIJALA ZA INVAZIVNU I INTERVENCIJSKU KARDIOLOGIJU, GR. VII</t>
  </si>
  <si>
    <t>OKVIRNI SPORAZUM ZA NABAVU UGRADBENOG I POTROŠNOG MATERIJALA ZA INVAZIVNU I INTERVENCIJSKU KARDIOLOGIJU, GR. VIII</t>
  </si>
  <si>
    <t>OKVIRNI SPORAZUM ZA NABAVU UGRADBENOG I POTROŠNOG MATERIJALA ZA INVAZIVNU I INTERVENCIJSKU KARDIOLOGIJU, GR. IX i XIV</t>
  </si>
  <si>
    <t>OKVIRNI SPORAZUM ZA NABAVU UGRADBENOG I POTROŠNOG MATERIJALA ZA INVAZIVNU I INTERVENCIJSKU KARDIOLOGIJU, GR. X</t>
  </si>
  <si>
    <t>OKVIRNI SPORAZUM ZA NABAVU UGRADBENOG I POTROŠNOG MATERIJALA ZA INVAZIVNU I INTERVENCIJSKU KARDIOLOGIJU, GR. XI i XIX</t>
  </si>
  <si>
    <t>OKVIRNI SPORAZUM ZA NABAVU UGRADBENOG I POTROŠNOG MATERIJALA ZA INVAZIVNU I INTERVENCIJSKU KARDIOLOGIJU, GR. XII</t>
  </si>
  <si>
    <t>OKVIRNI SPORAZUM ZA NABAVU UGRADBENOG I POTROŠNOG MATERIJALA ZA INVAZIVNU I INTERVENCIJSKU KARDIOLOGIJU, GR. XV</t>
  </si>
  <si>
    <t>OKVIRNI SPORAZUM ZA NABAVU UGRADBENOG I POTROŠNOG MATERIJALA ZA INVAZIVNU I INTERVENCIJSKU KARDIOLOGIJU, GR. XVI</t>
  </si>
  <si>
    <t>OKVIRNI SPORAZUM ZA NABAVU UGRADBENOG I POTROŠNOG MATERIJALA ZA INVAZIVNU I INTERVENCIJSKU KARDIOLOGIJU, GR. XX</t>
  </si>
  <si>
    <t>29.3.2016
(2 godine)
OS-15/2016</t>
  </si>
  <si>
    <t>29.3.2016
(2 godine)
OS-16/2016</t>
  </si>
  <si>
    <t>29.3.2016
(2 godine)
OS-17/2016</t>
  </si>
  <si>
    <t>29.3.2016
(2 godine)
OS-19/2016</t>
  </si>
  <si>
    <t>29.3.2016
(2 godine)
OS-20/2016</t>
  </si>
  <si>
    <t>29.3.2016
(2 godine)
OS-21/2016</t>
  </si>
  <si>
    <t>29.3.2016
(2 godine)
OS-22/2016</t>
  </si>
  <si>
    <t>29.3.2016
(2 godine)
OS-23/2016</t>
  </si>
  <si>
    <t>29.3.2016
(2 godine)
OS-24/2016</t>
  </si>
  <si>
    <t>29.3.2016
(2 godine)
OS-25/2016</t>
  </si>
  <si>
    <t>29.3.2016
(2 godine)
OS-27/2016</t>
  </si>
  <si>
    <t>29.3.2016
(2 godine)
OS-28/2016</t>
  </si>
  <si>
    <t>29.3.2016
(2 godine)
OS-30/2016</t>
  </si>
  <si>
    <t>OKVIRNI SPORAZUM ZA JEDNOGODIŠNJU
 NABAVU LIJEKOVA - GENERIČKE PARALELE - I, GR. 3, 4 i 31</t>
  </si>
  <si>
    <t>OKVIRNI SPORAZUM ZA JEDNOGODIŠNJU
 NABAVU LIJEKOVA - GENERIČKE PARALELE - I, GR. 1, 23, 27, 40 i 41</t>
  </si>
  <si>
    <t>OKVIRNI SPORAZUM ZA JEDNOGODIŠNJU
 NABAVU LIJEKOVA - GENERIČKE PARALELE - II, GR. 50, 51, 61, 65 i 81</t>
  </si>
  <si>
    <t>OKVIRNI SPORAZUM ZA JEDNOGODIŠNJU NABAVU LIJEKOVA VII</t>
  </si>
  <si>
    <t>OKVIRNI SPORAZUM ZA JEDNOGODIŠNJU NABAVU LIJEKOVA V GR. 3</t>
  </si>
  <si>
    <t>OKVIRNI SPORAZUM ZA JEDNOGODIŠNJU NABAVU LIJEKOVA VI A</t>
  </si>
  <si>
    <t>OKVIRNI SPORAZUM ZA JEDNOGODIŠNJU NABAVU LIJEKOVA III GR. 1</t>
  </si>
  <si>
    <t>OKVIRNI SPORAZUM ZA JEDNOGODIŠNJU NABAVU LIJEKOVA III GR. 2</t>
  </si>
  <si>
    <t>OKVIRNI SPORAZUM ZA JEDNOGODIŠNJU NABAVU LIJEKOVA III GR. 3</t>
  </si>
  <si>
    <t>OKVIRNI SPORAZUM ZA JEDNOGODIŠNJU
 NABAVU LIJEKOVA - GENERIČKE PARALELE - I, GR. 24, 28, 34</t>
  </si>
  <si>
    <t>24.8.2016.
1 godine
2.1.1.-16/786-1</t>
  </si>
  <si>
    <t>24.8.2016.
1 godine
2.1.1.-16/788-1</t>
  </si>
  <si>
    <t>22.8.2016.
1 godine
2.1.1.-16/785-1</t>
  </si>
  <si>
    <t>23.8.2016.
1 godine
2.1.1.-16/782-1</t>
  </si>
  <si>
    <t>19.8.2016.
1 godine
2.1.1.-16/783-1</t>
  </si>
  <si>
    <t>22.8.2016.
1 godine
2.1.1.-16/784-1</t>
  </si>
  <si>
    <t>29.8.2016.
1 godine
2.1.1.-16/792-1</t>
  </si>
  <si>
    <t>25.8.2016.
1 godine
2.1.1.-16/794-1</t>
  </si>
  <si>
    <t>25.8.2016.
1 godine
2.1.1.-16/791-1</t>
  </si>
  <si>
    <t>29.8.2016.
1 godine
2.1.1.-16/787-1</t>
  </si>
  <si>
    <t>Iznos sklopljenog iznosa ugovora s PDV-om 
(KBC Zagreb)</t>
  </si>
  <si>
    <t>UGOVOR ZA JEDNOGODIŠNJU NABAVU PREHRAMBENIH PROIZVODA, GR. 11 i 13</t>
  </si>
  <si>
    <t>7.7.2016
2.1.1.-16/618-1
(1 godina)</t>
  </si>
  <si>
    <t>2016/S 002-0008522</t>
  </si>
  <si>
    <t>LIMA O.I. d.o.o.</t>
  </si>
  <si>
    <t>Jednogodišnja nabava medicinskog potrošnog materijala za uporabu u ortopediji - ortopedski implantati, grupe 10 i 12</t>
  </si>
  <si>
    <t>29.8.2016.
2.1.1.-16/836-1
(1 godina)</t>
  </si>
  <si>
    <t>29.8.2017.</t>
  </si>
  <si>
    <t>Jednogodišnja nabava epruveta s podtlakom - grupa predmeta nabave II</t>
  </si>
  <si>
    <t>29.8.2016.
2.1.1.-16/815-1
(1 godina)</t>
  </si>
  <si>
    <t>Jednogodišnja nabava medicinskog potrošnog materijala za mikrobiologiju III - grupe I i VII</t>
  </si>
  <si>
    <t>2016/S 002-0011293</t>
  </si>
  <si>
    <t>29.8.2016.
2.1.1.-16/839-1
(1 godina)</t>
  </si>
  <si>
    <t>15.7.2016.
1 godine
2.1.1.-16/664-1</t>
  </si>
  <si>
    <t>8.8.2016.
1 godine
2.1.1.-16/768-1</t>
  </si>
  <si>
    <t>28.7.2016.
1 godine
2.1.1.-16/679-1</t>
  </si>
  <si>
    <t>18.8.2016.
1 godine
2.1.1.-16/777-1</t>
  </si>
  <si>
    <t>29.8.2016.
1 godine
2.1.1.-16/824-2</t>
  </si>
  <si>
    <t>29.8.2016.
1 godine
2.1.1.-16/826-3</t>
  </si>
  <si>
    <t>29.8.2016.
1 godine
2.1.1.-16/820-1</t>
  </si>
  <si>
    <t>29.8.2016.
1 godine
2.1.1.-16/821-2</t>
  </si>
  <si>
    <t>29.8.2016.
1 godine
2.1.1.-16/822-2</t>
  </si>
  <si>
    <t>29.8.2016.
1 godine
2.1.1.-16/823-2</t>
  </si>
  <si>
    <t>29.8.2016.
1 godine
2.1.1.-16/826-2</t>
  </si>
  <si>
    <t>29.8.2016.
1 godine
2.1.1.-16/820-2</t>
  </si>
  <si>
    <t>29.8.2016.
1 godine
2.1.1.-16/821-1</t>
  </si>
  <si>
    <t>29.8.2016.
1 godine
2.1.1.-16/822-1</t>
  </si>
  <si>
    <t>29.8.2016.
1 godine
2.1.1.-16/823-1</t>
  </si>
  <si>
    <t>29.8.2016.
1 godine
2.1.1.-16/822-5</t>
  </si>
  <si>
    <t>29.8.2016.
1 godine
2.1.1.-16/823-4</t>
  </si>
  <si>
    <t>OKVIRNI SPORAZUM ZA JEDNOGODIŠNJU NABAVU LIJEKOVA V GR. 1</t>
  </si>
  <si>
    <t>29.8.2016.
1 godine
2.1.1.-16/825-1</t>
  </si>
  <si>
    <t>29.8.2016.
1 godine
2.1.1.-16/826-1</t>
  </si>
  <si>
    <t>29.8.2016.
1 godine
2.1.1.-16/820-3</t>
  </si>
  <si>
    <t>29.8.2016.
1 godine
2.1.1.-16/824-1</t>
  </si>
  <si>
    <t>29.8.2016.
1 godine
2.1.1.-16/821-6</t>
  </si>
  <si>
    <t>29.8.2016.
1 godine
2.1.1.-16/822-6</t>
  </si>
  <si>
    <t>29.8.2016.
1 godine
2.1.1.-16/823-3</t>
  </si>
  <si>
    <t>29.8.2016.
1 godine
2.1.1.-16/820-4</t>
  </si>
  <si>
    <t>ALPHA MEDICAL d.d.</t>
  </si>
  <si>
    <t>29.8.2016.
1 godine
2.1.1.-16/821-4</t>
  </si>
  <si>
    <t>29.8.2016.
1 godine
2.1.1.-16/822-4</t>
  </si>
  <si>
    <t>29.8.2016.
1 godine
2.1.1.-16/821-5</t>
  </si>
  <si>
    <t>30.8.2016.
1 godine
2.1.1.-16/795-1</t>
  </si>
  <si>
    <t>30.8.2017.</t>
  </si>
  <si>
    <t>24.8.2017.</t>
  </si>
  <si>
    <t>24.8.2016.
1 godine
2.1.1.-16/790-1</t>
  </si>
  <si>
    <t>29.8.2016.
1 godine
2.1.1.-16/793-1</t>
  </si>
  <si>
    <t>24.8.2016.
1 godine
2.1.1.-16/781-1</t>
  </si>
  <si>
    <t>Jednogodišnja nabava medicinskog potrošnog materijala za mikrobiologiju III - grupe II, III i IV</t>
  </si>
  <si>
    <t>29.8.2016.
2.1.1.-16/840-1
(1 godina)</t>
  </si>
  <si>
    <t>Jednogodišnja nabava medicinskog potrošnog materijala za mikrobiologiju III - grupa VI</t>
  </si>
  <si>
    <t>29.8.2016.
2.1.1.-16/841-1
(1 godina)</t>
  </si>
  <si>
    <t>Jednogodišnja nabava medicinskog potrošnog materijala za potrebe kardijalne kirurgije grupa X</t>
  </si>
  <si>
    <t>2016/S 002-0004570</t>
  </si>
  <si>
    <t>29.8.2016.
2.1.1.-16/831-1
(1 godina)</t>
  </si>
  <si>
    <t>Jednogodišnja nabava medicinskog potrošnog materijala za mikrobiologiju III - grupa IX</t>
  </si>
  <si>
    <t xml:space="preserve">MEDICPLAST </t>
  </si>
  <si>
    <t>29.8.2016.
2.1.1.-16/843-1
(1 godina)</t>
  </si>
  <si>
    <t>Jednogodišnja nabava medicinskog potrošnog materijala za potrebe kardijalne kirurgije grupa XII</t>
  </si>
  <si>
    <t>TIPEX d.o.o.</t>
  </si>
  <si>
    <t>29.8.2016.
2.1.1.-16/832-1
(1 godina)</t>
  </si>
  <si>
    <t>Nabava medicinskih instrumenata za videotoroskopsku kirurgiju grupa II</t>
  </si>
  <si>
    <t>8.8.2016.
2.1.1.-16/752-1</t>
  </si>
  <si>
    <t>Nabava medicinskih instrumenata za videotoroskopsku kirurgiju grupa I</t>
  </si>
  <si>
    <t>NORMAN GRUPA d.o.o.</t>
  </si>
  <si>
    <t>5.9.2016.
2.1.1.-16/867-1</t>
  </si>
  <si>
    <t>5.9.2016.</t>
  </si>
  <si>
    <t>Jednogodišnja nabava elektrostimulatora srca - pribor za ugradnju elektrostimulatora srca grupa 4</t>
  </si>
  <si>
    <t>2016/S 002-0010325</t>
  </si>
  <si>
    <t>1.9.2017.</t>
  </si>
  <si>
    <t>1.9.2016.
2.1.1.-16/859-1
(1 godina)</t>
  </si>
  <si>
    <t>Jednogodišnja nabava višekratnog pribora za pozicioniranje i fiksaciju pacijenata u radioterapiji grupa I</t>
  </si>
  <si>
    <t>18.8.2017.</t>
  </si>
  <si>
    <t>18.8.2016.
2.1.1.-16/778-1</t>
  </si>
  <si>
    <t>5.1. B5 / 6.31</t>
  </si>
  <si>
    <t>Jednogodišnja nabava višekratnog elektrokirurškog potrošnog materijala grupa IV</t>
  </si>
  <si>
    <t>29.08.2017.</t>
  </si>
  <si>
    <t>29.08.2016.
2.1.1.-16/819-1
(1 godina)</t>
  </si>
  <si>
    <t>OKVIRNI SPORAZUM ZA JEDNOGODIŠNJU NABAVU LIJEKOVA - GENERIČKE PARALELE - II grupa 42</t>
  </si>
  <si>
    <t>23.8.2017.</t>
  </si>
  <si>
    <t>23.8.2016.
1 godine
2.1.1.-16/789-1</t>
  </si>
  <si>
    <t>29.8.2016.
1 godine
2.1.1.-16/821-3</t>
  </si>
  <si>
    <t>29.8.2016.
1 godine
2.1.1.-16/822-3</t>
  </si>
  <si>
    <t>REGISTAR UGOVORA  - OKVIRNI SPORAZUMI - LIJEKOVI ORIGINATORI</t>
  </si>
  <si>
    <t>OKVIRNI SPORAZUM ZA JEDNOGODIŠNJU NABAVU LIJEKOVA - GENERIČKE PARALELE - I grupa 32, 33</t>
  </si>
  <si>
    <t>OKVIRNI SPORAZUM ZA JEDNOGODIŠNJU NABAVU LIJEKOVA - GENERIČKE PARALELE - I grupe 2, 5, 6, 8, 9, 10, 11, 12, 13, 14, 15, 16, 17, 18, 19, 20, 21, 22, 37, 38, 39</t>
  </si>
  <si>
    <t>OKVIRNI SPORAZUM ZA JEDNOGODIŠNJU NABAVU LIJEKOVA - GENERIČKE PARALELE - II grupe 43, 52, 53, 54, 59, 60, 62, 63, 64, 66, 68, 82</t>
  </si>
  <si>
    <t>OKVIRNI SPORAZUM ZA JEDNOGODIŠNJU NABAVU LIJEKOVA - GENERIČKE PARALELE - X grupe 380, 381, 382, 383, 385, 387, 388, 392, 400, 401, 406, 408, 409, 418, 419, 420, 421, 424, 426, 427</t>
  </si>
  <si>
    <t>Jednogodišnja nabava elektrostimulatora srca - pribor za ugradnju elektrostimulatora srca grupa 5 i 8</t>
  </si>
  <si>
    <t>1.9.2016.
2.1.1.-16/861-1
(1 godina)</t>
  </si>
  <si>
    <t>Jednogodišnja nabava vrećica i filtera za krv grupa 1 i 4</t>
  </si>
  <si>
    <t>7.9.2016
2.1.1.-16/848-1
(1 godina)</t>
  </si>
  <si>
    <t>Jednogodišnja nabava reagensa i testova za potrebe laboratorijske dijagnostike - hematologija grupa II</t>
  </si>
  <si>
    <t>30.08.2017.</t>
  </si>
  <si>
    <t>30.08.2016.
2.1.1.-16/846-2
(1 godina)</t>
  </si>
  <si>
    <t>29.08.2016.
2.1.1.-16/846-1
(1 godina)</t>
  </si>
  <si>
    <t xml:space="preserve">OKVIRNI SPORAZUM ZA JEDNOGODIŠNJU NABAVU REAGENSA I TESTOVA ZA POTREBE LABORATORIJSKE DIJAGNOSTIKE - HEMATOLOGIJA GRUPA II </t>
  </si>
  <si>
    <t>Ugovor za novelaciju projektno tehničke dokumentacije za spojni hodnik Rebro - Jordanovac</t>
  </si>
  <si>
    <t>INSTITUT IGH d.d.</t>
  </si>
  <si>
    <t>26.8.2016.
2.1.1.-16/844-1</t>
  </si>
  <si>
    <t>Jednogodišnja nabava višekratnog potrošnog materijala za medicinske uređaje proizvođača Fujinon, Pentax, Philips, Johnson &amp; Johnson, gr. IV</t>
  </si>
  <si>
    <t>2016/S 002-0008181</t>
  </si>
  <si>
    <t>01.09.2017.</t>
  </si>
  <si>
    <t>01.09.2016.
2.1.1.-16/863-1
(1 godina)</t>
  </si>
  <si>
    <t>Jednogodišnja nabava održavanja sustava automatske regulacije klima komora</t>
  </si>
  <si>
    <t>AEROTEH d.o.o.</t>
  </si>
  <si>
    <t>29.8.2016.
2.1.1.-16/837-1</t>
  </si>
  <si>
    <t>2.2.1.B.29</t>
  </si>
  <si>
    <t>Jednogodišnja nabava inzulinskih pumpi</t>
  </si>
  <si>
    <t>1.1.2.A.178</t>
  </si>
  <si>
    <t>2016/S 002-0012775</t>
  </si>
  <si>
    <t>MEDILIGO d.o.o.</t>
  </si>
  <si>
    <t>01.09.2016.
2.1.1.-16/857-1
(1 godina)</t>
  </si>
  <si>
    <t>Jednogodišnja nabava medicinskog potrošnog materijala za potrebe kardijalne kirurgije grupe II, XV i XVI</t>
  </si>
  <si>
    <t>29.08.2016.
2.1.1.-16/827-1
(1 godina)</t>
  </si>
  <si>
    <t>Jednogodišnja nabava medicinskog potrošnog materijala za uporabu u ortopediji - ortopedski implantanti grupa 1</t>
  </si>
  <si>
    <t>29.08.2016.
2.1.1.-16/834-1
(1 godina)</t>
  </si>
  <si>
    <t>Jednogodišnja nabava medicinskog potrošnog materijala za potrebe gastroenterologije grupe 1, 2, 5, 6, 25, 35, 36, 65, 66, 73, 97, 98 i 101</t>
  </si>
  <si>
    <t>02.09.2017.</t>
  </si>
  <si>
    <t>02.09.2016.
2.1.1.-16/890-1
(1 godina)</t>
  </si>
  <si>
    <t>Jednogodišnja nabava elektrostimulatora srca - pribor za ugradnju elektrostimulatora srca grupa 2 i 6</t>
  </si>
  <si>
    <t>Jednogodišnja nabava medicinskog potrošnog materijala za potrebe kardijalne kirurgije grupa XIV</t>
  </si>
  <si>
    <t>29.08.2016.
2.1.1.-16/833-1
(1 godina)</t>
  </si>
  <si>
    <t>Jednogodišnja nabava višekratnog potrošnog materijala za medicinske uređaje proizvođača Fujinon, Pentax, Philips, Johnson &amp; Johnson, gr. III</t>
  </si>
  <si>
    <t>01.09.2016.
2.1.1.-16/862-1
(1 godina)</t>
  </si>
  <si>
    <t>1.9.2016.
2.1.1.-16/860-1
(1 godina)</t>
  </si>
  <si>
    <t>Jednogodišnja nabava vrećica i filtera za krv grupa 2</t>
  </si>
  <si>
    <t>7.9.2016
2.1.1.-16/849-1
(1 godina)</t>
  </si>
  <si>
    <t>UGOVOR ZA JEDNOGODIŠNJU NABAVU LIJEKOVA - GENERIČKE PARALELE - II, GR. 50, 51, 61, 65 i 81</t>
  </si>
  <si>
    <t>Otvoreni postupak 
(Ugovor po okvirnom sporazumu)</t>
  </si>
  <si>
    <t>5.9.2016.
1 godine
2.1.1.-16/787-2</t>
  </si>
  <si>
    <t>5.9.2017.</t>
  </si>
  <si>
    <t>UGOVOR ZA JEDNOGODIŠNJU
 NABAVU LIJEKOVA - GENERIČKE PARALELE - I, GR. 24, 28, 34</t>
  </si>
  <si>
    <t>5.9.2016.
1 godine
2.1.1.-16/791-2</t>
  </si>
  <si>
    <t>REGISTAR UGOVORA ZA ZAJEDNIČKU JAVNU NABAVU - OKVIRNI SPORAZUMI I UGOVORI - LIJEKOVI</t>
  </si>
  <si>
    <t>UGOVOR ZA JEDNOGODIŠNJU
 NABAVU LIJEKOVA - GENERIČKE PARALELE - X, GR. 386, 407 i 417</t>
  </si>
  <si>
    <t>8.9.2016.
1 godine
2.1.1.-16/782-2</t>
  </si>
  <si>
    <t>8.9.2017.</t>
  </si>
  <si>
    <t>UGOVOR ZA JEDNOGODIŠNJU NABAVU LIJEKOVA - GENERIČKE PARALELE - II, GR. 45, 47 i 48</t>
  </si>
  <si>
    <t>5.9.2016.
1 godine
2.1.1.-16/788-2</t>
  </si>
  <si>
    <t>UGOVOR ZA JEDNOGODIŠNJU NABAVU LIJEKOVA - GENERIČKE PARALELE - I, GR. 3, 4 i 31</t>
  </si>
  <si>
    <t>5.9.2016.
1 godine
2.1.1.-16/792-2</t>
  </si>
  <si>
    <t>Ugovor za upravljanje projektom dnevne bolnice i jednodnevne kirurgije</t>
  </si>
  <si>
    <t>1.3.2018.</t>
  </si>
  <si>
    <t>31.8.2016.
2.1.1.-16/865-1</t>
  </si>
  <si>
    <t>2.7.B.35</t>
  </si>
  <si>
    <t>Jednogodišnja nabava medicinskog potrošnog materijala za potrebe gastroenterologije grupa 107</t>
  </si>
  <si>
    <t>02.09.2016.
2.1.1.-16/887-1
(1 godina)</t>
  </si>
  <si>
    <t>Jednogodišnja nabava medicinskog potrošnog materijala za potrebe gastroenterologije grupa 7, 17, 54, 92, 93</t>
  </si>
  <si>
    <t>02.09.2016.
2.1.1.-16/889-1
(1 godina)</t>
  </si>
  <si>
    <t>UGOVOR ZA JEDNOGODIŠNJU NABAVU LIJEKOVA - GENERIČKE PARALELE - X, GR. 399, 410, 411, 412, 422</t>
  </si>
  <si>
    <t>8.9.2016.
1 godine
2.1.1.-16/784-2</t>
  </si>
  <si>
    <t>Jednogodišnja nabava medicinskog potrošnog materijala za mikrobiologiju III - grupa VIII</t>
  </si>
  <si>
    <t>29.08.2016.
2.1.1.-16/842-1
(1 godina)</t>
  </si>
  <si>
    <t>UGOVOR ZA NABAVU ORL RADNOG MJESTA</t>
  </si>
  <si>
    <t>5.1.A5/4.3</t>
  </si>
  <si>
    <t>2016/S 002-0015718</t>
  </si>
  <si>
    <t>1.10.2016.</t>
  </si>
  <si>
    <t>1.9.2016.
2.1.1.-16/864-1</t>
  </si>
  <si>
    <t>Jednogodišnja nabava medicinskog potrošnog materijala za potrebe gastroenterologije grupa 88</t>
  </si>
  <si>
    <t>02.09.2016.
2.1.1.-16/888-1
(1 godina)</t>
  </si>
  <si>
    <t>UGOVOR ZA JEDNOGODIŠNJU NABAVU LIJEKOVA - GENERIČKE PARALELE - III, GR. 87, 103 i 110</t>
  </si>
  <si>
    <t>13.9.2016.
1 godine
2.1.1.-16/799-2</t>
  </si>
  <si>
    <t>13.9.2017.</t>
  </si>
  <si>
    <t>OKVIRNI SPORAZUM ZA JEDNOGODIŠNJU NABAVU LIJEKOVA - GENERIČKE PARALELE - III, GR. 87, 103 i 110</t>
  </si>
  <si>
    <t>12.9.2017.</t>
  </si>
  <si>
    <t>12.9.2016.
1 godine
2.1.1.-16/799-1</t>
  </si>
  <si>
    <t>UGOVOR ZA JEDNOGODIŠNJU NABAVU LIJEKOVA - GENERIČKE PARALELE - IV, GR. 140, 147, 158 i 159</t>
  </si>
  <si>
    <t>14.9.2017.</t>
  </si>
  <si>
    <t>14.9.2016.
1 godine
2.1.1.-16/871-2</t>
  </si>
  <si>
    <t>UGOVOR ZA JEDNOGODIŠNJU NABAVU LIJEKOVA - GENERIČKE PARALELE - III, GR. 90 i 91</t>
  </si>
  <si>
    <t>13.9.2016.
1 godine
2.1.1.-16/798-2</t>
  </si>
  <si>
    <t>OKVIRNI SPORAZUM ZA JEDNOGODIŠNJU NABAVU LIJEKOVA - GENERIČKE PARALELE - III, GR. 90 i 91</t>
  </si>
  <si>
    <t>12.9.2016.
1 godine
2.1.1.-16/798-1</t>
  </si>
  <si>
    <t>ANEKS OKVIRNOG SPORAZUMA ZA JEDNOGODIŠNJU NABAVU LIJEKOVA - GENERIČKE PARALELE - X</t>
  </si>
  <si>
    <t>Otvoreni postupak 
(Aneks okvirnog sporazuma)</t>
  </si>
  <si>
    <t>6.9.2016.
1 godine
2.1.1.-16/782-1</t>
  </si>
  <si>
    <t>6.9.2017.</t>
  </si>
  <si>
    <t>Jednogodišnja nabava medicinskog potrošnog materijala za ortopediju i traumatologiju - grupa 6</t>
  </si>
  <si>
    <t>1.1.2.A.19</t>
  </si>
  <si>
    <t>2016/S 002-0012857</t>
  </si>
  <si>
    <t>06.09.2017.</t>
  </si>
  <si>
    <t>06.09.2016.
2.1.1.-16/891-1
(1 godina)</t>
  </si>
  <si>
    <t>UGOVOR ZA JEDNOGODIŠNJU NABAVU LIJEKOVA - GENERIČKE PARALELE - IV. GR. 125, 149, 153, 163 i 164</t>
  </si>
  <si>
    <t>14.9.2016.
1 godine
2.1.1.-16/869-2</t>
  </si>
  <si>
    <t>OKVIRNI SPORAZUM ZA JEDNOGODIŠNJU NABAVU LIJEKOVA - GENERIČKE PARAKLELE - IV - GR. 125, 149, 153, 163, 164</t>
  </si>
  <si>
    <t>14.9.2016.
1 godine
2.1.1.-16/869-1</t>
  </si>
  <si>
    <t>UGOVOR ZA JEDNOGODIŠNJU NABAVU LIJEKOVA - GENERIČKE PARALELE - X GR. 389, 390, 391, 395, 396, 403, 404, 405 i 425</t>
  </si>
  <si>
    <t>8.9.2016.
1 godine
2.1.1.-16/783-2</t>
  </si>
  <si>
    <t>Jednogodišnja nabava staklenog, plastičnog, metalnog i drvenog medicinskog potrošnog materijala - gr. 1, 2, 3, 4, 7, 9 i 19</t>
  </si>
  <si>
    <t>7.9.2016
2.1.1.-16/892-1
(1 godina)</t>
  </si>
  <si>
    <t>UGOVOR ZA NABAVU LIJEKOVA - I</t>
  </si>
  <si>
    <t>15.9.2016.
6 mjeseci
2.1.1.-16/898-1</t>
  </si>
  <si>
    <t>UGOVOR ZA NABAVU LIJEKOVA - VI</t>
  </si>
  <si>
    <t>15.9.2016.
6 mjeseci
2.1.1.-16/897-1</t>
  </si>
  <si>
    <t>15.3.2017.</t>
  </si>
  <si>
    <t>UGOVOR ZA JEDNOGODIŠNJU NABAVU LIJEKOVA - GENERIČKE PARALELE - I, GR. 1, 23, 27, 40 i 41</t>
  </si>
  <si>
    <t>5.9.2016.
1 godine
2.1.1.-16/794-2</t>
  </si>
  <si>
    <t>UGOVOR ZA JEDNOGODIŠNJU
 NABAVU LIJEKOVA - GENERIČKE PARALELE - II, GR. 55, 56, 57, 69, 70, 71,
72, 73, 74, 76, 77 i 83</t>
  </si>
  <si>
    <t>5.9.2016.
1 godine
2.1.1.-16/785-2</t>
  </si>
  <si>
    <t>UGOVOR ZA JEDNOGODIŠNJU NABAVU LIJEKOVA - GENERIČKE PARALELE - IV GR. 126, 127, 128, 132, 133, 139, 144, 145, 148, 155, 157 i 165</t>
  </si>
  <si>
    <t>14.9.2016.
1 godine
2.1.1.-16/870-2</t>
  </si>
  <si>
    <t>OKVIRNI SPORAZUM ZA JEDNOGODIŠNJU
 NABAVU LIJEKOVA - GENERIČKE PARALELE - III, GR. 86, 89, 95, 96, 97, 99, 101, 106, 107, 108, 116, 117, 118, 119, 120, 121, 122, 123, 124</t>
  </si>
  <si>
    <t>9.9.2016.
1 godine
2.1.1.-16/796-1</t>
  </si>
  <si>
    <t>9.9.2017.</t>
  </si>
  <si>
    <t>UGOVOR ZA JEDNOGODIŠNJU
 NABAVU LIJEKOVA - GENERIČKE PARALELE - III, GR. 86, 89, 95, 96, 97, 99, 101, 106, 107, 108, 116, 117, 118, 119, 120, 121, 122, 123, 124</t>
  </si>
  <si>
    <t>13.9.2016.
1 godine
2.1.1.-16/870-2</t>
  </si>
  <si>
    <t>OKVIRNI SPORAZUM ZA JEDNOGODIŠNJU NABAVU LIJEKOVA - GENERIČKE PARALELE - IV, GR. 126, 127, 128, 132, 133, 139, 144, 145, 148, 155, 157, 165 - 2.dio</t>
  </si>
  <si>
    <t>12.9.2016.
1 godine
2.1.1.-16/870-1</t>
  </si>
  <si>
    <t>Ugovor o jednogodišnjoj usluzi servisnog održavanja medicinskih uređaja proizvođača Natus Neurology, Artema S&amp;W of Cardiac Science, Axis Communications, CareFusion, ResMed, Medoc, Mortara, Aloka i Hitachi</t>
  </si>
  <si>
    <t>2.2.2.A.13</t>
  </si>
  <si>
    <t>2016/S 002-0015647</t>
  </si>
  <si>
    <t>12.09.2016.
2.1.1.-16/875-1
(1 godina)</t>
  </si>
  <si>
    <t>12.09.2017.</t>
  </si>
  <si>
    <t>Ugovor za nabavu instrumenata za dječju kardijalnu kirurgiju</t>
  </si>
  <si>
    <t>5.1 B5 / 6.29</t>
  </si>
  <si>
    <t>5.9.2016.
2.1.1.-16/850-1</t>
  </si>
  <si>
    <t>Klinički bolnički centar Zagreb</t>
  </si>
  <si>
    <t>Zagreb, Kišpatićeva 12</t>
  </si>
  <si>
    <t>PREDMET NABAVE</t>
  </si>
  <si>
    <t>DOBAVLJAČ</t>
  </si>
  <si>
    <t>ZDRAVSTVENA USTANOVA</t>
  </si>
  <si>
    <t>UGRADBENI I POTROŠNI MATERIJAL ZA OFTALMOLOGIJU</t>
  </si>
  <si>
    <t>OPĆA BOLNICA PULA</t>
  </si>
  <si>
    <t>BROJ UGOVORA</t>
  </si>
  <si>
    <t>44/16-ON</t>
  </si>
  <si>
    <t>ZN - Registar Okvirnih sporazuma i Ugovora koje su zaključile druge zdravstvene ustanove - Središnje tijelo KBC Zagreb (2016. god)</t>
  </si>
  <si>
    <t>10.06.</t>
  </si>
  <si>
    <t>IZNOS s PDV-om</t>
  </si>
  <si>
    <t>4, 17, 49, 54, 16</t>
  </si>
  <si>
    <t>KLINIČKI BOLNIČKI CENTAR RIJEKA</t>
  </si>
  <si>
    <t>17.08.</t>
  </si>
  <si>
    <t>OS 144/16</t>
  </si>
  <si>
    <t>6.6.2016.
1 godina
2.1.1.-16/582-1</t>
  </si>
  <si>
    <t>4, 9, 10, 12, 14, 16, 17, 25, 35, 49, 54</t>
  </si>
  <si>
    <t>OPĆA BOLNICA "Dr. Tomislav Bardek" KOPRIVNICA</t>
  </si>
  <si>
    <t>91/2016</t>
  </si>
  <si>
    <t>4, 9, 10, 12, 16, 17, 35, 49, 54</t>
  </si>
  <si>
    <t>EVIDENCIJSKI BROJ NABAVE</t>
  </si>
  <si>
    <t>1.1.2.A.154</t>
  </si>
  <si>
    <t>18.08.</t>
  </si>
  <si>
    <t>RD. BR.</t>
  </si>
  <si>
    <t>OPĆA BOLNICA "Dr. Josip Benčević" - Slavonski Brod</t>
  </si>
  <si>
    <t>4, 9, 10, 16, 17, 35, 49, 54</t>
  </si>
  <si>
    <t>26.07.</t>
  </si>
  <si>
    <t>2967/2016</t>
  </si>
  <si>
    <t>OPĆA BOLNICA ZADAR</t>
  </si>
  <si>
    <t>4, 10, 12, 14, 16, 17, 25, 35, 49</t>
  </si>
  <si>
    <t>14.07.</t>
  </si>
  <si>
    <t>KLINIČKI BOLNIČKI CENTAR SESTRE MILOSRDNICE</t>
  </si>
  <si>
    <t>4, 16, 17, 25, 35, 49</t>
  </si>
  <si>
    <t>N-132/2016</t>
  </si>
  <si>
    <t>Ugovor o jednogodišnjoj usluzi servisa i popravka protupožarnih vrata na lokacijama KBC-a Zagreb</t>
  </si>
  <si>
    <t>2.2.1.B.34</t>
  </si>
  <si>
    <t>11.9.2016.
2.1.1.-16/894-1</t>
  </si>
  <si>
    <t>11.9.2017.</t>
  </si>
  <si>
    <t>Ugovor za jednogodišnju nabavu potrošnog materijala za sterilizaciju gr 23</t>
  </si>
  <si>
    <t>B BRAUN ADRIA d.o.o.</t>
  </si>
  <si>
    <t>7.9.2016
2.1.1.-16/874-1
(1 godina)</t>
  </si>
  <si>
    <t>20.07.</t>
  </si>
  <si>
    <t>94-1/2016</t>
  </si>
  <si>
    <t>OPĆA BOLNICA "Dr. Ivo Pedišić" SISAK</t>
  </si>
  <si>
    <t>4, 16, 17, 49, 54</t>
  </si>
  <si>
    <t>07.07.</t>
  </si>
  <si>
    <t>50/16-ON</t>
  </si>
  <si>
    <t>15.07.</t>
  </si>
  <si>
    <t>6.6.2016.
1 godina
2.1.1.-16/581-1</t>
  </si>
  <si>
    <t>OKVIRNI SPORAZUM ZA JEDNOGODIŠNJU NABAVU LIJEKOVA - GENERIČKE PARALELE - III, GR. 84, 85, 92, 93, 98, 100, 102, 104, 105, 111, 112, 115</t>
  </si>
  <si>
    <t>15.9.2017.</t>
  </si>
  <si>
    <t>15.9.2016.
1 godine
2.1.1.-16/797-1</t>
  </si>
  <si>
    <t xml:space="preserve">OKVIRNI SPORAZUM ZA JEDNOGODIŠNJU NABAVU LIJEKOVA - GENERIČKE PARALELE - IV, GR. 130, 131, 134, 150, 151, 160, 161, 162, 166 </t>
  </si>
  <si>
    <t>12.9.2016.
1 godine
2.1.1.-16/868-1</t>
  </si>
  <si>
    <t>5.9.2016.
1 godine
2.1.1.-16/793-2</t>
  </si>
  <si>
    <t>UGOVOR ZA JEDNOGODIŠNJU NABAVU LIJEKOVA - GENERIČKE PARALELE - I gr 2, 5, 6, 8, 9, 10, 11, 12, 13, 14, 15, 16, 17, 18, 19, 20, 21, 22, 37, 38, 39</t>
  </si>
  <si>
    <t>UGOVOR ZA JEDNOGODIŠNJU NABAVU LIJEKOVA - GENERIČKE PARALELE - X grupe 380, 381, 382, 383, 385, 387, 388, 392, 400, 401, 406, 408, 409, 418, 419, 420, 421, 424, 426, 427</t>
  </si>
  <si>
    <t>8.9.2016.
1 godine
2.1.1.-16/781-2</t>
  </si>
  <si>
    <t xml:space="preserve">UGOVOR ZA JEDNOGODIŠNJU NABAVU LIJEKOVA - GENERIČKE PARALELE - IV, GR. 130, 131, 134, 150, 151, 160, 161, 162, 166 </t>
  </si>
  <si>
    <t>14.9.2016.
1 godine
2.1.1.-16/868-2</t>
  </si>
  <si>
    <t>UGOVOR ZA JEDNOGODIŠNJU NABAVU LIJEKOVA - GENERIČKE PARALELE - III, GR. 84, 85, 92, 93, 98, 100, 102, 104, 105, 111, 112, 115</t>
  </si>
  <si>
    <t>13.9.2016.
1 godine
2.1.1.-16/797-2</t>
  </si>
  <si>
    <t>OKVIRNI SPORAZUM ZA JEDNOGODIŠNJU NABAVU LIJEKOVA - GENERIČKE PARALELE - IV, GR. 140, 147, 158 i 159</t>
  </si>
  <si>
    <t>12.9.2016.
1 godine
2.1.1.-16/871-1</t>
  </si>
  <si>
    <t>Jednogodišnja nabava medicinskog potrošnog materijala za potrebe citogenetike gr XII</t>
  </si>
  <si>
    <t>2016/S 002-0009413</t>
  </si>
  <si>
    <t>07.09.2016.
2.1.1.-16/895-1
(1 godina)</t>
  </si>
  <si>
    <t>07.09.2017.</t>
  </si>
  <si>
    <t>03.08.</t>
  </si>
  <si>
    <t>6, 8, 11, 13 18, 38, 48</t>
  </si>
  <si>
    <t>6, 8, 11, 13 18, 38, 49</t>
  </si>
  <si>
    <t>16.08.</t>
  </si>
  <si>
    <t>6, 8, 11, 13, 38</t>
  </si>
  <si>
    <t>87/2016</t>
  </si>
  <si>
    <t>22.08.</t>
  </si>
  <si>
    <t>6, 11, 13</t>
  </si>
  <si>
    <t>94-2/2016</t>
  </si>
  <si>
    <t>6, 11, 13 18, 38, 48</t>
  </si>
  <si>
    <t>N-131/2016</t>
  </si>
  <si>
    <t>OPĆA BOLNICA VIROVITICA</t>
  </si>
  <si>
    <t>8, 11, 13, 38</t>
  </si>
  <si>
    <t>08.07.</t>
  </si>
  <si>
    <t>9, 10, 12, 16, 17, 35, 49</t>
  </si>
  <si>
    <t>02.08.</t>
  </si>
  <si>
    <t>6.6.2016.
1 godina
2.1.1.-16/580-1</t>
  </si>
  <si>
    <t>49/16-ON</t>
  </si>
  <si>
    <t>N-137/2016</t>
  </si>
  <si>
    <t>N-136/2016</t>
  </si>
  <si>
    <t>6.6.2016.
1 godina
2.1.1.-16/579-1</t>
  </si>
  <si>
    <t>29.07.</t>
  </si>
  <si>
    <t>24, 52</t>
  </si>
  <si>
    <t>6.6.2016.
1 godina
2.1.1.-16/583-1</t>
  </si>
  <si>
    <t>88/2016</t>
  </si>
  <si>
    <t>24.08.</t>
  </si>
  <si>
    <t>42/16-ON</t>
  </si>
  <si>
    <t>28, 36</t>
  </si>
  <si>
    <t>18.07.</t>
  </si>
  <si>
    <t>28, 34, 36</t>
  </si>
  <si>
    <t>29.08.</t>
  </si>
  <si>
    <t>86/2016</t>
  </si>
  <si>
    <t>PHOENIX PHARMACIJA d.d.</t>
  </si>
  <si>
    <t>10.08.</t>
  </si>
  <si>
    <t>6.6.2016.
1 godina
2.1.1.-16/578-1</t>
  </si>
  <si>
    <t>N-135/2016</t>
  </si>
  <si>
    <t>83/2016</t>
  </si>
  <si>
    <t>01.08.</t>
  </si>
  <si>
    <t>43/16-ON</t>
  </si>
  <si>
    <t>6.6.2016.
1 godina
2.1.1.-16/577-1</t>
  </si>
  <si>
    <t>09.08.</t>
  </si>
  <si>
    <t>85/2016</t>
  </si>
  <si>
    <t>11.08.</t>
  </si>
  <si>
    <t>N-134/2016</t>
  </si>
  <si>
    <t>389, 390, 391, 395, 396, 403, 404, 405</t>
  </si>
  <si>
    <t>08.09.</t>
  </si>
  <si>
    <t>8.9.2016.
1 godina
2.1.1</t>
  </si>
  <si>
    <t>Medical intertrade d.o.o.</t>
  </si>
  <si>
    <t>399, 410, 411, 412</t>
  </si>
  <si>
    <t>407, 417</t>
  </si>
  <si>
    <t>Klinika za ortopediju Lovran</t>
  </si>
  <si>
    <t>19.09.</t>
  </si>
  <si>
    <t>19.9.2016.
1 godina
2.1.1.-118/16</t>
  </si>
  <si>
    <t>19.9.2016.
1 godina
2.1.1.-119/16</t>
  </si>
  <si>
    <t>19.9.2016.
1 godina
2.1.1.-120/16</t>
  </si>
  <si>
    <t>19.9.2016.
1 godina
2.1.1.-121/16</t>
  </si>
  <si>
    <t>Jednogodišnja nabava staklenog, plastičnog, metalnog i drvenog medicinskog potrošnog materijala - gr. 5, 11, 13, 23</t>
  </si>
  <si>
    <t>7.9.2016
2.1.1.-16/893-1
(1 godina)</t>
  </si>
  <si>
    <t>MEDICINA-PROMET d.o.o.</t>
  </si>
  <si>
    <t>Jednogodišnja usluga servisnog održavanja medicinske opreme i uređaja proizvođača Olympus</t>
  </si>
  <si>
    <t>2.2.2.A.40</t>
  </si>
  <si>
    <t>12.09.2016.
2.1.1.-16/896-1
(1 godina)</t>
  </si>
  <si>
    <t>Ugovor za jednogodišnju nabavu prehrambenih proizvoda gr 19</t>
  </si>
  <si>
    <t>19.07.2016
2.1.1.-16/735-1
(1 godina)</t>
  </si>
  <si>
    <t>UGOVOR ZA JEDNOGODIŠNJU NABAVU LIJEKOVA - GENERIČKE PARALELE - IV, GR. 136, 137, 138, 141</t>
  </si>
  <si>
    <t>OKVIRNI SPORAZUM ZA JEDNOGODIŠNJU NABAVU LIJEKOVA - GENERIČKE PARALELE - IV, GR. 136, 137, 138, 141</t>
  </si>
  <si>
    <t>14.9.2016.
1 godine
2.1.1.-16/873-2</t>
  </si>
  <si>
    <t>12.9.2016.
1 godine
2.1.1.-16/873-1</t>
  </si>
  <si>
    <t>OPĆA BOLNICA VARAŽDIN</t>
  </si>
  <si>
    <t>4, 9, 10, 12, 14, 17, 25, 35, 49, 54</t>
  </si>
  <si>
    <t>8, 11, 13, 18, 38, 48</t>
  </si>
  <si>
    <t>28, 34</t>
  </si>
  <si>
    <t>OKVIRNI SPORAZUM ZA JEDNOGODIŠNJU NABAVU LIJEKOVA - GENERIČKE PARALELE - IV, GR. 142, 143, 146</t>
  </si>
  <si>
    <t>19.9.2016.
1 godine
2.1.1.-16/872-1</t>
  </si>
  <si>
    <t>19.9.2017.</t>
  </si>
  <si>
    <t>UGOVOR ZA JEDNOGODIŠNJU NABAVU LIJEKOVA - GENERIČKE PARALELE - IV, GR. 142, 143, 146</t>
  </si>
  <si>
    <t>14.9.2016.
1 godine
2.1.1.-16/872-2</t>
  </si>
  <si>
    <t>UGOVOR ZA JEDNOGODIŠNJU NABAVU LIJEKOVA - GENERIČKE PARALELE - II, GR. 67</t>
  </si>
  <si>
    <t>5.9.2016.
1 godine
2.1.1.-16/786-2</t>
  </si>
  <si>
    <t>UGOVOR ZA JEDNOGODIŠNJU NABAVU LIJEKOVA - GENERIČKE PARALELE - I, GR. 32, 33</t>
  </si>
  <si>
    <t>5.9.2016.
1 godine
2.1.1.-16/795-2</t>
  </si>
  <si>
    <t>UGOVOR ZA JEDNOGODIŠNJU NABAVU LIJEKOVA - GENERIČKE PARALELE - II, GR. 42</t>
  </si>
  <si>
    <t>5.9.2016.
1 godine
2.1.1.-16/789-2</t>
  </si>
  <si>
    <t>19.9.2016.
1 godina
2.1.1.-127/16</t>
  </si>
  <si>
    <t>19.9.2016.
1 godina
2.1.1.-128/16</t>
  </si>
  <si>
    <t>19.9.2016.
1 godina
2.1.1.-129/16</t>
  </si>
  <si>
    <t>19.9.2016.
1 godina
2.1.1.-130/16</t>
  </si>
  <si>
    <t>19.9.2016.
1 godina
2.1.1.-125/16</t>
  </si>
  <si>
    <t>KLINIČKA BOLNICA "SVETI DUH"</t>
  </si>
  <si>
    <t>15.09.</t>
  </si>
  <si>
    <t>Ugovor za uslugu premještanja CT uređaja sa lokacije Rebro na lokaciju Jordanovac</t>
  </si>
  <si>
    <t>2.2.2.B.130</t>
  </si>
  <si>
    <t>19.9.2016.
2.1.1.-16/929-1</t>
  </si>
  <si>
    <t>04.11.2016.</t>
  </si>
  <si>
    <t>15.9.2016.
1 godina
2.1.1.-16/782-1</t>
  </si>
  <si>
    <t>390, 391, 396, 404, 405, 413</t>
  </si>
  <si>
    <t>13.09.</t>
  </si>
  <si>
    <t>13.9.2016.
1 godina
2.1.1.-16/783-1</t>
  </si>
  <si>
    <t>399, 410, 411, 412, 422</t>
  </si>
  <si>
    <t>14.09.</t>
  </si>
  <si>
    <t>14.9.2016.
1 godina
2.1.1.-16/784-1</t>
  </si>
  <si>
    <t>382, 383, 388, 392, 400, 401, 406, 419, 420, 421, 426</t>
  </si>
  <si>
    <t>19.9.2016.
1 godina
2.1.1.-16/781-1</t>
  </si>
  <si>
    <t>GENERIČKE PARALELE II</t>
  </si>
  <si>
    <t>55, 56, 69, 70, 71, 72, 73, 74, 76, 77, 83</t>
  </si>
  <si>
    <t>382, 383, 392, 400, 401, 406, 419, 420</t>
  </si>
  <si>
    <t>19.9.2016.
1 godina
2.1.1.</t>
  </si>
  <si>
    <t>389, 390, 391, 395, 396, 404, 405, 413, 414</t>
  </si>
  <si>
    <t>07.09.</t>
  </si>
  <si>
    <t>7.9.2016.
1 godina
2.1.1.-16/783-1</t>
  </si>
  <si>
    <t>7.9.2016.
1 godina
2.1.1.-16/784-1</t>
  </si>
  <si>
    <t>UGOVOR ZA NABAVU LIJEKOVA XXIV</t>
  </si>
  <si>
    <t>19.9.2016.
1 godine
2.1.1.-16/938-1</t>
  </si>
  <si>
    <t>Jednogodišnja nabava medicinskog potrošnog materijala za radiologiju gr 2</t>
  </si>
  <si>
    <t>2016/S 002-0012939</t>
  </si>
  <si>
    <t>16.09.2016.
2.1.1.-16/900-1
(1 godina)</t>
  </si>
  <si>
    <t>16.09.2017.</t>
  </si>
  <si>
    <t>Jednogodišnja nabava medicinskog potrošnog materijala za radiologiju gr 3</t>
  </si>
  <si>
    <t>16.09.2016.
2.1.1.-16/925-1
(1 godina)</t>
  </si>
  <si>
    <t>380, 381, 400, 401, 406, 418, 419, 420, 421, 426</t>
  </si>
  <si>
    <t>7.9.2016.
1 godina
2.1.1.-16/782-1</t>
  </si>
  <si>
    <t>Ugovor za nabavu žarulja za medicinske uređaje gr I, Ia i IV</t>
  </si>
  <si>
    <t>2016/S 002-0013037</t>
  </si>
  <si>
    <t>26.09.2016.
2.1.1.-16/952-1
(1 godina)</t>
  </si>
  <si>
    <t>26.09.2017.</t>
  </si>
  <si>
    <t>5.9.2016.
1 godine
2.1.1.-16/790-2</t>
  </si>
  <si>
    <t>UGOVOR ZA JEDNOGODIŠNJU NABAVU LIJEKOVA - GENERIČKE PARALELE - II grupe 43, 52, 53, 54, 59, 60, 62, 63, 64, 66, 68, 82</t>
  </si>
  <si>
    <t>2.8.A.16</t>
  </si>
  <si>
    <t>2016/S 002-0013302</t>
  </si>
  <si>
    <t>Ugovor o održavanju integriranog bolničkog i poslovnog informacijskog sustava (IBIS)</t>
  </si>
  <si>
    <t>IN2 d.o.o.</t>
  </si>
  <si>
    <t>21.09.2017.</t>
  </si>
  <si>
    <t>21.09.2016.
2.1.1.-16/939-1
(1 godina)</t>
  </si>
  <si>
    <t>OKVIRNI SPORAZUM ZA NABAVU UGRADBENOG I POTROŠNOG MATERIJALA ZA NEUROKIRURGIJU - I-1 GR. 32</t>
  </si>
  <si>
    <t>1.1.2.A.152</t>
  </si>
  <si>
    <t>26.09.2016.
2.1.1.-16/943-1
(2 godina)</t>
  </si>
  <si>
    <t>26.09.2018.</t>
  </si>
  <si>
    <t>UGOVOR PO OKVIRNOM SPORAZUMU klasa 2.1.1.-16/943-1 ZA NABAVU UGRADBENOG I POTROŠNOG MATERIJALA ZA NEUROKIRURGIJU - I-1 GR. 32</t>
  </si>
  <si>
    <t>28.09.2016
2.1.1.-16/943-2
(1 godina)</t>
  </si>
  <si>
    <t>OKVIRNI SPORAZUM ZA NABAVU UGRADBENOG I POTROŠNOG MATERIJALA ZA NEUROKIRURGIJU - I-1 GR. 33 i 37</t>
  </si>
  <si>
    <t>26.09.2016.
2.1.1.-16/942-1
(2 godina)</t>
  </si>
  <si>
    <t>UGOVOR PO OKVIRNOM SPORAZUMU klasa 2.1.1.-16/942-2 ZA NABAVU UGRADBENOG I POTROŠNOG MATERIJALA ZA NEUROKIRURGIJU - I-1 GR. 33 i 37</t>
  </si>
  <si>
    <t>28.09.2016
2.1.1.-16/942-2
(1 godina)</t>
  </si>
  <si>
    <t>OKVIRNI SPORAZUM ZA JEDNOGODIŠNJU NABAVAU LIJEKOVA - GENERIČKE PARALELE - IX GR 351, 352, 354, 355</t>
  </si>
  <si>
    <t>27.9.2016.
1 godine
2.1.1.-16/987-1</t>
  </si>
  <si>
    <t>27.9.2017.</t>
  </si>
  <si>
    <t>OKVIRNI SPORAZUM ZA JEDNOGODIŠNJU NABAVU LIJEKOVA - GENERIČKE PARALELE - IX GR 342, 343, 360, 361, 362, 363, 364, 366, 379</t>
  </si>
  <si>
    <t>26.9.2016.
1 godine
2.1.1.-16/986-1</t>
  </si>
  <si>
    <t>26.9.2017.</t>
  </si>
  <si>
    <t>UGOVOR ZA JEDNOGODIŠNJU NABAVU LIJEKOVA - GENERIČKE PARALELE - IX GR 342, 343, 360, 361, 362, 363, 364, 366, 379</t>
  </si>
  <si>
    <t>3.10.2016.
1 godine
2.1.1.-16/986-2</t>
  </si>
  <si>
    <t>3.10.2017.</t>
  </si>
  <si>
    <t>OKVIRNI SPORAZUM ZA JEDNOGODIŠNJU NABAVU LIJEKOVA VIII</t>
  </si>
  <si>
    <t>29.8.2016.
1 godine
2.1.1.-16/800-2</t>
  </si>
  <si>
    <t>29.8.2016.
1 godine
2.1.1.-16/800-1</t>
  </si>
  <si>
    <t>29.8.2016.
1 godine
2.1.1.-16/800-3</t>
  </si>
  <si>
    <t>UGOVOR ZA JEDNOGODIŠNJU NABAVU LIJEKOVA - GENERIČKE PARALELE - XIV GR 3</t>
  </si>
  <si>
    <t>26.9.2016.
4 mjeseca
2.1.1.-16/951-1</t>
  </si>
  <si>
    <t>26.1.2017.</t>
  </si>
  <si>
    <t>UGOVOR ZA NABAVU LIJEKOVA - IV</t>
  </si>
  <si>
    <t>15.9.2016.
6 mjeseci
2.1.1.-16/899-1</t>
  </si>
  <si>
    <t>UGOVOR ZA NABAVU LIJEKOVA - II</t>
  </si>
  <si>
    <t>27.9.2016.
6 mjeseca
2.1.1.-16/954-1</t>
  </si>
  <si>
    <t>27.3.2017.</t>
  </si>
  <si>
    <t>Jednogodišnja nabava medicinskog potrošnog materijala za potrebe gastroenterologije gr 23</t>
  </si>
  <si>
    <t>26.09.2016.
2.1.1.-16/994-1
(1 godina)</t>
  </si>
  <si>
    <t>Ugovor za jednogodišnju nabavu srčanih zalistaka za potrebe kardijalne kirurgije gr III</t>
  </si>
  <si>
    <t>27.09.2016.
2.1.1.-16/957-1
(1 godina)</t>
  </si>
  <si>
    <t>27.09.2017.</t>
  </si>
  <si>
    <t>Ugovor za jednogodišnju nabavu medicinskog potrošnog materijala za potrebe kardijalne kirurgije - transplatacija gr III</t>
  </si>
  <si>
    <t>27.09.2016.
2.1.1.-16/956-1
(1 godina)</t>
  </si>
  <si>
    <t>1.1.2.A.5</t>
  </si>
  <si>
    <t>Ugovor za jednogodišnju nabavu medicinskog potrošnog materijala za potrebe kardijalne kirurgije - transplatacija gr I</t>
  </si>
  <si>
    <t>27.09.2016.
2.1.1.-16/955-1
(1 godina)</t>
  </si>
  <si>
    <t>Ugovor za jednogodišnju nabavu srčanih zalistaka za potrebe kardijalne kirurgije gr IV</t>
  </si>
  <si>
    <t>27.09.2016.
2.1.1.-16/958-1
(1 godina)</t>
  </si>
  <si>
    <t>UGOVOR ZA JEDNOGODIŠNJU NABAVAU LIJEKOVA - GENERIČKE PARALELE - IX GR 351, 352, 354, 355</t>
  </si>
  <si>
    <t>3.10.2016.
1 godine
2.1.1.-16/987-2</t>
  </si>
  <si>
    <t>Ugovor za nabavu radne odjeće za potrebe djelatnika KBC-a Zagreb gr I</t>
  </si>
  <si>
    <t>1.6.A.1</t>
  </si>
  <si>
    <t>NMKA d.o.o.</t>
  </si>
  <si>
    <t>26.09.2016.
2.1.1.-16/930-1
(1 godina)</t>
  </si>
  <si>
    <t>OKVIRNI SPORAZUM ZA JEDNOGODIŠNJU NABAVU LIJEKOVA - GENERIČKE PARALELE - IX GR 341</t>
  </si>
  <si>
    <t>27.9.2016.
1 godine
2.1.1.-16/989-1</t>
  </si>
  <si>
    <t>UGOVOR ZA JEDNOGODIŠNJU NABAVAU LIJEKOVA - GENERIČKE PARALELE - IX GR 341</t>
  </si>
  <si>
    <t>3.10.2016.
1 godine
2.1.1.-16/989-2</t>
  </si>
  <si>
    <t>28.09.2017.</t>
  </si>
  <si>
    <t>Ugovor za jednogodišnju nabavu medicinskog potrošnog materijala za gastroenterologiju -  gr. 34, 59, 69, 71, 80</t>
  </si>
  <si>
    <t>MEDIK ZAGREB d.o.o.</t>
  </si>
  <si>
    <t>26.09.2016.
2.1.1.-16/991-1
(1 godina)</t>
  </si>
  <si>
    <t>Okvirni sporazum za nabavu ugradbenog i potrošnog materijala za neurokirurgiju I 1 gr 17</t>
  </si>
  <si>
    <t>26.09.2016
2.1.1.-16/944-1
(1 godina)</t>
  </si>
  <si>
    <t>Ugovor po okvirnom sporazumu za nabavu ugradbenog i potrošnog materijala za neurokirurgiju I 1 gr 17</t>
  </si>
  <si>
    <t>28.09.2016
2.1.1.-16/944-2
(1 godina)</t>
  </si>
  <si>
    <t>Ugovor za jednogodišnju nabavu medicinskog potrošnog materijala za mikrobiologiju - II gr 43, 49, 62</t>
  </si>
  <si>
    <t>3.10.2016.
2.1.1.-16/1053-1
(1 godina)</t>
  </si>
  <si>
    <t>Ugovor za jednogodišnju nabavu medicinskog potrošnog materijala za mikrobiologiju - II gr 35</t>
  </si>
  <si>
    <t>3.10.2016.
2.1.1.-16/959-1
(1 godina)</t>
  </si>
  <si>
    <t>Ugovor za jednogodišnju nabavu medicinskog potrošnog materijala za mikrobiologiju - II gr 47, 54, 55</t>
  </si>
  <si>
    <t>3.10.2016.
2.1.1.-16/963-1
(1 godina)</t>
  </si>
  <si>
    <t>Ugovor za jednogodišnju nabavu medicinskog potrošnog materijala za mikrobiologiju - II gr 41, 58</t>
  </si>
  <si>
    <t>BIOGNOST d.o.o.</t>
  </si>
  <si>
    <t>3.10.2016.
2.1.1.-16/961-1
(1 godina)</t>
  </si>
  <si>
    <t>Ugovor za nabavu mikrobiološkog zaštitnog kabineta za potrebe hrvatske banke tkiva i stanica</t>
  </si>
  <si>
    <t>5.1 B5 / 6.20</t>
  </si>
  <si>
    <t>30.9.2016.
2.1.1.-16/970-1</t>
  </si>
  <si>
    <t>30.10.2016.</t>
  </si>
  <si>
    <t>Ugovor za jednogodišnju kurirsku uslugu prijevoza krvi i krvnih pripravaka, lijekova, pupkovine i transplantata živih nezamrznutih krvotvornih matičnih stanica nesrodnih darivatelja za grupu predmeta nabave II</t>
  </si>
  <si>
    <t>2.1.3.A.1</t>
  </si>
  <si>
    <t>WORLD COURIER ZAGREB d.o.o.</t>
  </si>
  <si>
    <t>16.9.2016.
2.1.1.-16/926-1
(1 godina)</t>
  </si>
  <si>
    <t>16.9.2017.</t>
  </si>
  <si>
    <t>Ugovor za nabavu radne odjeće za potrebe djelatnika KBC-a Zagreb gr V</t>
  </si>
  <si>
    <t>SIGA PRO d.o.o.</t>
  </si>
  <si>
    <t>26.9.2016.
2.1.1.-16/984-1
(1 godina)</t>
  </si>
  <si>
    <t>26.10.2016.</t>
  </si>
  <si>
    <t>5.1.A.5/6.4</t>
  </si>
  <si>
    <t>Ugovor za nabavu ventiliranog stola za uzimanje uzoraka</t>
  </si>
  <si>
    <t>4.10.2016.
2.1.1.-16/971-1
(1 godina)</t>
  </si>
  <si>
    <t>19.11.2016.</t>
  </si>
  <si>
    <t>Ugovor za jednogodišnju nabavu medicinskog potrošnog materijala za mikrobiologiju - II gr 51</t>
  </si>
  <si>
    <t>3.10.2016.
2.1.1.-16/965-1
(1 godina)</t>
  </si>
  <si>
    <t>OKVIRNI SPORAZUM ZA JEDNOGODIŠNJU NABAVU LIJEKOVA - GENERIČKE PARALELE - VII GR 271, 279, 285, 286</t>
  </si>
  <si>
    <t>UGOVOR ZA JEDNOGODIŠNJU NABAVU LIJEKOVA - GENERIČKE PARALELE - VII GR 271, 279, 285, 286</t>
  </si>
  <si>
    <t>3.10.2016.
1 godine
2.1.1.-16/999-1</t>
  </si>
  <si>
    <t>10.10.2016.
1 godine
2.1.1.-16/999-2</t>
  </si>
  <si>
    <t>10.10.2017.</t>
  </si>
  <si>
    <t>Ugovor za nabavu izvođenja radova u svrhu sanacije objekta Patologije</t>
  </si>
  <si>
    <t>5.1 B5 / 6.46</t>
  </si>
  <si>
    <t>GRADITELJ SVRATIŠTA d.o.o.</t>
  </si>
  <si>
    <t>30.9.2016.
2.1.1.-16/968-1</t>
  </si>
  <si>
    <t>15.11.2016.</t>
  </si>
  <si>
    <t>Ugovor o jednogodišnjoj usluzi servisnog održavanja uređaja za demineralizaciju vode proizvođača Nirosta</t>
  </si>
  <si>
    <t>2.2.2.A.43</t>
  </si>
  <si>
    <t>NIROSTA d.o.o.</t>
  </si>
  <si>
    <t>29.9.2016.
2.1.1.-16/972-1
(1 godina)</t>
  </si>
  <si>
    <t>29.9.2017.</t>
  </si>
  <si>
    <t>Ugovor za jednogodišnju nabavu medicinskog potrošnog materijala za mikrobiologiju - II gr 52 i 57</t>
  </si>
  <si>
    <t>3.10.2016.
2.1.1.-16/964-1
(1 godina)</t>
  </si>
  <si>
    <t>OKVIRNI SPORAZUM ZA JEDNOGODIŠNJU NABAVU LIJEKOVA - GENERIČKE PARALELE - IX GR 339, 340, 346, 356, 357, 358, 359, 365, 368, 369, 370, 371, 373, 374, 376, 377</t>
  </si>
  <si>
    <t>29.9.2016.
1 godine
2.1.1.-16/985-1</t>
  </si>
  <si>
    <t>OKVIRNI SPORAZUM ZA JEDNOGODIŠNJU NABAVU LIJEKOVA - GENERIČKE PARALELE - VII GR 257, 259, 261, 263, 267, 283, 287, 289, 292</t>
  </si>
  <si>
    <t>UGOVOR ZA NABAVU LIJEKOVA - XVI</t>
  </si>
  <si>
    <t>26.9.2016.
4 mjeseca
2.1.1.-16/954-1</t>
  </si>
  <si>
    <t>10.10.2016.
1 godine
2.1.1.-16/1001-1</t>
  </si>
  <si>
    <t>UGOVOR ZA JEDNOGODIŠNJU NABAVU LIJEKOVA - GENERIČKE PARALELE - VII GR 257, 259, 261, 263, 267, 283, 287, 289, 292</t>
  </si>
  <si>
    <t>10.10.2016.
1 godine
2.1.1.-16/1001-2</t>
  </si>
  <si>
    <t>VREĆICE I FILTERI ZA KRV</t>
  </si>
  <si>
    <t>Jasika d.o.o.</t>
  </si>
  <si>
    <t>27.06.</t>
  </si>
  <si>
    <t>27.06.2016.
1 godina
2.1.1.-</t>
  </si>
  <si>
    <t>OKVIRNI SPORAZUM ZA JEDNOGODIŠNJU NABAVU LIJEKOVA - GENERIČKE PARALELE - V GR. 191, 198, 206, 207</t>
  </si>
  <si>
    <t>03.10.2017.</t>
  </si>
  <si>
    <t>Ugovor za nabavu jednogodišnje usluge servisnog održavanja medicinske opreme i uređaja proizvođača Agfa, BK Medical, Alcon, Getinge, Physio Control, Fujinon i Medtronic</t>
  </si>
  <si>
    <t>2.2.2.A.34</t>
  </si>
  <si>
    <t>3.10.2016.
2.1.1.-16/973-1
(1 godina)</t>
  </si>
  <si>
    <t>UGOVOR ZA NABAVU LIJEKOVA - V gr 3</t>
  </si>
  <si>
    <t>03.10.2016.
6 mjeseca
2.1.1.-16/1028-1</t>
  </si>
  <si>
    <t>03.4.2017.</t>
  </si>
  <si>
    <t>Ugovor za jednogodišnju nabavu žarulja za medicinske uređaje gr III</t>
  </si>
  <si>
    <t>26.09.2016.
2.1.1.-16/953-1
(1 godina)</t>
  </si>
  <si>
    <t>UGOVOR ZA JEDNOGODIŠNJU NABAVU LIJEKOVA - GENERIČKE PARALELE - V GR. 191, 198, 206, 207</t>
  </si>
  <si>
    <t>10.10.2016.
1 godine
2.1.1.-16/1009-2</t>
  </si>
  <si>
    <t>03.10.2016.
1 godine
2.1.1.-16/1009-1</t>
  </si>
  <si>
    <t>Ugovor za nabavu instrumenata za obradu tkiva</t>
  </si>
  <si>
    <t>5.1 B5 / 6.17</t>
  </si>
  <si>
    <t>30.9.2016.
2.1.1.-16/969-1</t>
  </si>
  <si>
    <t>10.12.2016.</t>
  </si>
  <si>
    <t>Ugovor za nabavu radne odjeće za potrebe djelatnika KBC-a Zagreb gr IV</t>
  </si>
  <si>
    <t>URIHO ZAGREB</t>
  </si>
  <si>
    <t>26.09.2016.
2.1.1.-16/983-1
(1 godina)</t>
  </si>
  <si>
    <t>Ugovor za jednogodišnju nabavu medicinskog potrošnog materijala za mikrobiologiju - II gr 46</t>
  </si>
  <si>
    <t>3.10.2016.
2.1.1.-16/960-1
(1 godina)</t>
  </si>
  <si>
    <t>Ugovor za nabavu jednogodišnje usluge servisnog održavanja medicinske opreme i uređaja Atmos i Eppendorf</t>
  </si>
  <si>
    <t>2.2.2.B.15</t>
  </si>
  <si>
    <t>30.9.2016.
2.1.1.-16/966-1</t>
  </si>
  <si>
    <t>30.9.2017.</t>
  </si>
  <si>
    <t>Ugovor za nabavu ugradbenog i potrošnog materijala za oftalmologiju gr 1, 20, 21, 33, 42, 44, 53</t>
  </si>
  <si>
    <t>4.10.2016.
2.1.1.-16/1002-2
(1 godina)</t>
  </si>
  <si>
    <t>4.10.2017.</t>
  </si>
  <si>
    <t>Okvirni sporazum za nabavu ugradbenog i potrošnog materijala za oftalmologiju gr 1, 20, 21, 33, 42, 44, 53</t>
  </si>
  <si>
    <t>OKVIRNI SPORAZUM ZA JEDNOGODIŠNJU NABAVU LIJEKOVA - GENERIČKE PARALELE - VII GR 258, 268, 269, 270, 272, 273, 274, 275, 276, 282, 291</t>
  </si>
  <si>
    <t>3.10.2016.
1 godine
2.1.1.-16/1000-1</t>
  </si>
  <si>
    <t>UGOVOR ZA JEDNOGODIŠNJU NABAVU LIJEKOVA - GENERIČKE PARALELE - VII GR 258, 268, 269, 270, 272, 273, 274, 275, 276, 282, 291</t>
  </si>
  <si>
    <t>10.10.2016.
1 godine
2.1.1.-16/1000-2</t>
  </si>
  <si>
    <t>UGOVOR ZA JEDNOGODIŠNJU NABAVU LIJEKOVA - GENERIČKE PARALELE - V GR. 190</t>
  </si>
  <si>
    <t>10.10.2016.
1 godine
2.1.1.-16/1010-2</t>
  </si>
  <si>
    <t>OKVIRNI SPORAZUM ZA JEDNOGODIŠNJU NABAVU LIJEKOVA - GENERIČKE PARALELE - V GR. 190</t>
  </si>
  <si>
    <t>4.10.2016.
1 godine
2.1.1.-16/1010-1</t>
  </si>
  <si>
    <t>3.10.2016.
2.1.1.-16/1002-1
(1 godina)</t>
  </si>
  <si>
    <t>30.03.2018.</t>
  </si>
  <si>
    <t>30.03.2016.
2.1.1.-16/978-1
(1 godina)</t>
  </si>
  <si>
    <t>PREMIUM d.o.o.</t>
  </si>
  <si>
    <t>Ugovor - Nabava ugradbenog i potrošnog materijala za neurokirurgiju I-1 gr 1, 5, 14, 18, 19, 23, 26, 28, 35</t>
  </si>
  <si>
    <t>28.09.2016.
2.1.1.-16/940-2
(1 godina)</t>
  </si>
  <si>
    <t>Okvirni - Nabava ugradbenog i potrošnog materijala za neurokirurgiju I-1 gr 1, 5, 14, 18, 19, 23, 26, 28, 35</t>
  </si>
  <si>
    <t>26.09.2016.
2.1.1.-16/940-1
(1 godina)</t>
  </si>
  <si>
    <t>Okvirni - Nabava ugradbenog i potrošnog materijala za neurokirurgiju I-2 gr 60</t>
  </si>
  <si>
    <t>10.10.2016.
2.1.1.-16/1026-2
(1 godina)</t>
  </si>
  <si>
    <t>Ugovor - Nabava ugradbenog i potrošnog materijala za neurokirurgiju I-2 gr 60</t>
  </si>
  <si>
    <t>5.10.2016.
2.1.1.-16/1026-1
(1 godina)</t>
  </si>
  <si>
    <t>5.10.2017.</t>
  </si>
  <si>
    <t xml:space="preserve">Ugovor za jednogodišnju uslugu održavanja telefonskih centrala </t>
  </si>
  <si>
    <t>2.2.5.B.17</t>
  </si>
  <si>
    <t>28.9.2016.
2.1.1.-16/945-1</t>
  </si>
  <si>
    <t>28.9.2017.</t>
  </si>
  <si>
    <t>Ugovor - isporuka rukavica za potrebe javnih ustanova gr XVIII</t>
  </si>
  <si>
    <t>Ugovor - isporuka rukavica za potrebe javnih ustanova gr I. VIII. X. XVI.</t>
  </si>
  <si>
    <t>30.03.2016.
2.1.1.-16/975-1
(1 godina)</t>
  </si>
  <si>
    <t>SRIJEM d.o.o.</t>
  </si>
  <si>
    <t>30.03.2017.</t>
  </si>
  <si>
    <t>Ugovor - isporuka rukavica za potrebe javnih ustanova gr III. XVII.</t>
  </si>
  <si>
    <t>30.03.2016.
2.1.1.-16/974-1
(1 godina)</t>
  </si>
  <si>
    <t>Ugovor za nabavu adaptacije prostora za smještaj CT uređaja - VI. Dijagnostika 1. kat</t>
  </si>
  <si>
    <t>2.2.1.B.35</t>
  </si>
  <si>
    <t>INTERIJER MVA d.o.o.</t>
  </si>
  <si>
    <t>10.10.2016.
2.1.1.-16/1054-1</t>
  </si>
  <si>
    <t>Mediva d.o.o.</t>
  </si>
  <si>
    <t>Tehnomedika d.o.o.</t>
  </si>
  <si>
    <t>1, 4</t>
  </si>
  <si>
    <t>3, 5, 7</t>
  </si>
  <si>
    <t>28.06.</t>
  </si>
  <si>
    <t>28.06.2016.
1 godina
2.1.1.-</t>
  </si>
  <si>
    <t>55, 56, 69, 70, 71, 72, 73, 76, 77, 83</t>
  </si>
  <si>
    <t>21.09.</t>
  </si>
  <si>
    <t>45, 47, 48</t>
  </si>
  <si>
    <t>43, 52, 53, 54, 59, 60, 62, 63, 64, 82</t>
  </si>
  <si>
    <t>23.09.</t>
  </si>
  <si>
    <t>51, 61, 81</t>
  </si>
  <si>
    <t>OKVIRNI SPORAZUM ZA JEDNOGODIŠNJU NABAVU LIJEKOVA - GENERIČKE PARALELE - V GR. 171, 172, 173, 175, 176, 187, 188, 189, 192, 193, 194, 195, 197, 201, 202, 204, 205, 209</t>
  </si>
  <si>
    <t>10.03.2016.
1 godine
2.1.1.-16/1008-1</t>
  </si>
  <si>
    <t>10.03.2017.</t>
  </si>
  <si>
    <t>UGOVOR ZA JEDNOGODIŠNJU NABAVU LIJEKOVA - GENERIČKE PARALELE - VI GR. 213, 215, 224, 229, 233, 234, 235, 236, 237, 240, 245</t>
  </si>
  <si>
    <t>OKVIRNI SPORAZUM ZA JEDNOGODIŠNJU NABAVU LIJEKOVA - GENERIČKE PARALELE - VI GR. 213, 215, 224, 229, 233, 234, 235, 236, 237, 240, 245</t>
  </si>
  <si>
    <t>7.10.2016.
1 godine
2.1.1.-16/1019-1</t>
  </si>
  <si>
    <t>7.10.2017.</t>
  </si>
  <si>
    <t>OKVIRNI SPORAZUM ZA JEDNOGODIŠNJU NABAVU LIJEKOVA - GENERIČKE PARALELE - V GR. 203</t>
  </si>
  <si>
    <t>4.10.2016.
1 godine
2.1.1.-16/1012-1</t>
  </si>
  <si>
    <t>OKVIRNI SPORAZUM ZA JEDNOGODIŠNJU NABAVU LIJEKOVA - GENERIČKE PARALELE - VII GR. 254, 255, 256, 277, 278, 281, 284, 288</t>
  </si>
  <si>
    <t>6.10.2016.
1 godine
2.1.1.-16/997-1</t>
  </si>
  <si>
    <t>6.10.2017.</t>
  </si>
  <si>
    <t>OKVIRNI SPORAZUM ZA JEDNOGODIŠNJU NABAVU LIJEKOVA - GENERIČKE PARALELE - VI GR. 211, 212, 214, 216, 219, 228, 232, 238, 239, 241, 243, 244, 251, 252</t>
  </si>
  <si>
    <t>6.10.2016.
1 godine
2.1.1.-16/1018-1</t>
  </si>
  <si>
    <t>OKVIRNI SPORAZUM ZA JEDNOGODIŠNJU NABAVU LIJEKOVA - GENERIČKE PARALELE - V GR. 167, 168, 178, 179, 180, 181, 182, 184, 185, 186, 199</t>
  </si>
  <si>
    <t>OKVIRNI SPORAZUM ZA JEDNOGODIŠNJU NABAVU LIJEKOVA - GENERIČKE PARALELE - IX GR. 338</t>
  </si>
  <si>
    <t>29.09.2016.
1 godine
2.1.1.-16/988-1</t>
  </si>
  <si>
    <t>29.09.2017.</t>
  </si>
  <si>
    <t>OKVIRNI SPORAZUM ZA JEDNOGODIŠNJU NABAVU LIJEKOVA - GENERIČKE PARALELE - VII GR. 262, 264, 265</t>
  </si>
  <si>
    <t>30.09.2016.
1 godine
2.1.1.-16/998-1</t>
  </si>
  <si>
    <t>30.09.2017.</t>
  </si>
  <si>
    <t>Jednogodišnja nabava medicinskog potrošnog materijala za potrebe gastroenterologije gr. 10, 76, 77</t>
  </si>
  <si>
    <t>10.10.2016.
2.1.1.-16/993-2
(1 godina)</t>
  </si>
  <si>
    <t>Okvirni sporazum za nabavu ugradbenog i potrošnog materijala za neurokirurgiju I 1 gr 24, 29, 30, 34</t>
  </si>
  <si>
    <t>26.09.2016.
2.1.1.-16/941-1
(1 godina)</t>
  </si>
  <si>
    <t>Ugovor za jednogodišnju nabavu izotopa i laboratorijskih reagensa za potrebe nuklearne medicine gr I, II, III, V, VI, VIII</t>
  </si>
  <si>
    <t>10.10.2016.
2.1.1.-16/1047-1
(1 godina)</t>
  </si>
  <si>
    <t>Ugovor za jednogodišnju nabavu medicinskog potrošnog materijala za mikrobiologiju - II gr 45</t>
  </si>
  <si>
    <t>3.10.2016.
2.1.1.-16/962-1
(1 godina)</t>
  </si>
  <si>
    <t>Ugovor - isporuka rukavica za potrebe javnih ustanova gr II 2.DIO</t>
  </si>
  <si>
    <t>VIK - DENTAL d.o.o.</t>
  </si>
  <si>
    <t>29.03.2018.</t>
  </si>
  <si>
    <t>29.03.2016.
2.1.1.-16/976-1
(1 godina)</t>
  </si>
  <si>
    <t>Ugovor - isporuka ugradbenog i potrošnog materijala za intervencijsku radiologiju gr II i X</t>
  </si>
  <si>
    <t>10.02.2016.
2.1.1.-16/1036-1
(1 godina)</t>
  </si>
  <si>
    <t>10.02.2017.</t>
  </si>
  <si>
    <t>Ugovor - isporuka ugradbenog i potrošnog materijala za intervencijsku radiologiju gr IV i XXII</t>
  </si>
  <si>
    <t>9.02.2016.
2.1.1.-16/1038-1
(1 godina)</t>
  </si>
  <si>
    <t>9.02.2017.</t>
  </si>
  <si>
    <t>Ugovor - isporuka ugradbenog i potrošnog materijala za intervencijsku radiologiju gr XI</t>
  </si>
  <si>
    <t>10.02.2016.
2.1.1.-16/1034-1
(1 godina)</t>
  </si>
  <si>
    <t>Ugovor - isporuka ugradbenog i potrošnog materijala za intervencijsku radiologiju gr VIII</t>
  </si>
  <si>
    <t>11.02.2016.
2.1.1.-16/1040-1
(1 godina)</t>
  </si>
  <si>
    <t>11.02.2017.</t>
  </si>
  <si>
    <t>Okvirni sporazum za nabavu ugradbenog i potrošnog materijala za neurokirurgiju II GR 2</t>
  </si>
  <si>
    <t>Ugovor za nabavu ugradbenog i potrošnog materijala za neurokirurgiju II GR 2</t>
  </si>
  <si>
    <t>11.10.2016.
2.1.1.-16/1004-2
(1 godina)</t>
  </si>
  <si>
    <t>11.10.2017.</t>
  </si>
  <si>
    <t>Ugovor za nabavu ugradbenog i potrošnog materijala za neurokirurgiju I-2 GR. 57</t>
  </si>
  <si>
    <t>10.10.2016.
2.1.1.-16/1024-2
(1 godina)</t>
  </si>
  <si>
    <t>Ugovor za nabavu ugradbenog i potrošnog materijala za neurokirurgiju I-2 GR. 48, 66, 67, 68, 69, 70, 71</t>
  </si>
  <si>
    <t>10.10.2016.
2.1.1.-16/1025-2
(1 godina)</t>
  </si>
  <si>
    <t>Okvirni sporazum za ugradbenog i potrošnog materijala za neurokirurgiju I-2 GR. 48, 66, 67, 68, 69, 70, 71</t>
  </si>
  <si>
    <t>5.10.2016.
2.1.1.-16/1025-1
(1 godina)</t>
  </si>
  <si>
    <t>Okvirni sporazum za nabavu ugradbenog i potrošnog materijala za neurokirurgiju I-2 GR. 57</t>
  </si>
  <si>
    <t>5.10.2016.
2.1.1.-16/1024-1
(1 godina)</t>
  </si>
  <si>
    <t>17.10.2016.
1 godine
2.1.1.-16/1019-2</t>
  </si>
  <si>
    <t>17.10.2017.</t>
  </si>
  <si>
    <t>UGOVOR ZA JEDNOGODIŠNJU NABAVU LIJEKOVA - GENERIČKE PARALELE - V GR. 167, 168, 178, 179, 180, 181, 182, 184, 185, 186, 199</t>
  </si>
  <si>
    <t>10.10.2016.
1 godine
2.1.1.-16/1007-2</t>
  </si>
  <si>
    <t>6.10.2016.
1 godine
2.1.1.-16/1007-1</t>
  </si>
  <si>
    <t>UGOVOR ZA JEDNOGODIŠNJU NABAVU LIJEKOVA - GENERIČKE PARALELE - VII GR. 254, 255, 256, 277, 278, 281, 284, 288</t>
  </si>
  <si>
    <t>10.10.2016.
1 godine
2.1.1.-16/997-2</t>
  </si>
  <si>
    <t>UGOVOR ZA JEDNOGODIŠNJU NABAVU LIJEKOVA - GENERIČKE PARALELE - VI GR. 211, 212, 214, 216, 219, 228, 232, 238, 239, 241, 243, 244, 251, 252</t>
  </si>
  <si>
    <t>17.10.2016.
1 godine
2.1.1.-16/1018-2</t>
  </si>
  <si>
    <t>UGOVOR ZA JEDNOGODIŠNJU NABAVU LIJEKOVA - GENERIČKE PARALELE - V GR. 203</t>
  </si>
  <si>
    <t>10.10.2016.
1 godine
2.1.1.-16/1012-2</t>
  </si>
  <si>
    <t>UGOVOR ZA JEDNOGODIŠNJU NABAVU LIJEKOVA - GENERIČKE PARALELE - V GR. 171, 172, 173, 175, 176, 187, 188, 189, 192, 193, 194, 195, 197, 201, 202, 204, 205, 209</t>
  </si>
  <si>
    <t>10.10.2016.
1 godine
2.1.1.-16/1008-2</t>
  </si>
  <si>
    <t>Ugovor za nabavu usluge nadzora nad izvođenjem radova adaptacije i uređenja prostora za smještaj dva CT uređaja</t>
  </si>
  <si>
    <t>GRATA PROJEKT d.o.o.</t>
  </si>
  <si>
    <t>10.10.2016.
2.1.1.-16/1055-1</t>
  </si>
  <si>
    <t>21.11.2016.</t>
  </si>
  <si>
    <t>Ugovor za nabavu sanacije toplinske podstanice</t>
  </si>
  <si>
    <t>5.1.B.5/6.76</t>
  </si>
  <si>
    <t>11.10.2016.
2.1.1.-16/1057-1</t>
  </si>
  <si>
    <t>Ugovor - isporuka rukavica za potrebe javnih ustanova gr XXI.</t>
  </si>
  <si>
    <t>29.03.2016.
2.1.1.-16/980-1
(1 godina)</t>
  </si>
  <si>
    <t>29.03.2017.</t>
  </si>
  <si>
    <t>Ugovor - isporuka rukavica za potrebe javnih ustanova gr XV.</t>
  </si>
  <si>
    <t>25.03.2016.
2.1.1.-16/977-1
(1 godina)</t>
  </si>
  <si>
    <t>25.03.2017.</t>
  </si>
  <si>
    <t>Ugovor za nabavu ugradbenog i potrošnog materijala za neurokirurgiju I-1 GR. 24, 30, 34</t>
  </si>
  <si>
    <t>28.09.2016.
2.1.1.-16/941-2
(1 godina)</t>
  </si>
  <si>
    <t>Ugovor za nabavu jednogodišnje usluge servisa vatrogasnih aparata</t>
  </si>
  <si>
    <t>HRT - Šarić d.o.o.</t>
  </si>
  <si>
    <t>30.9.2016.
2.1.1.-16/967-1</t>
  </si>
  <si>
    <t>.Ugovor - isporuka ugradbenog i potrošnog materijala za intervencijsku radiologiju gr XIV.</t>
  </si>
  <si>
    <t>8.02.2016.
2.1.1.-16/1042-1
(1 godina)</t>
  </si>
  <si>
    <t>8.02.2017.</t>
  </si>
  <si>
    <t>.Ugovor - isporuka ugradbenog i potrošnog materijala za intervencijsku radiologiju gr V, VII, XXIV</t>
  </si>
  <si>
    <t>9.02.2016.
2.1.1.-16/1039-1
(1 godina)</t>
  </si>
  <si>
    <t>OKVIRNI SPORAZUM ZA JEDNOGODIŠNJU NABAVU LIJEKOVA - GENERIČKE PARALELE - V GR. 208</t>
  </si>
  <si>
    <t>10.10.2016.
1 godine
2.1.1.-16/1013-2</t>
  </si>
  <si>
    <t>ALPHA MEDICAL d.o.o.</t>
  </si>
  <si>
    <t>UGOVOR ZA JEDNOGODIŠNJU NABAVU LIJEKOVA - GENERIČKE PARALELE - V GR. 208</t>
  </si>
  <si>
    <t>UGOVOR ZA JEDNOGODIŠNJU NABAVU LIJEKOVA - GENERIČKE PARALELE - V GR. 196</t>
  </si>
  <si>
    <t>10.10.2016.
1 godine
2.1.1.-16/1011-2</t>
  </si>
  <si>
    <t>6.10.2016.
1 godine
2.1.1.-16/1013-1</t>
  </si>
  <si>
    <t>OKVIRNI SPORAZUM ZA JEDNOGODIŠNJU NABAVU LIJEKOVA - GENERIČKE PARALELE - V GR. 196</t>
  </si>
  <si>
    <t>5.10.2016.
1 godine
2.1.1.-16/1011-1</t>
  </si>
  <si>
    <t>OKVIRNI SPORAZUM ZA JEDNOGODIŠNJU NABAVU LIJEKOVA - GENERIČKE PARALELE - VI GR. 227, 242, 250</t>
  </si>
  <si>
    <t>6.10.2016.
1 godine
2.1.1.-16/1021-1</t>
  </si>
  <si>
    <t>OKVIRNI SPORAZUM ZA JEDNOGODIŠNJU NABAVU LIJEKOVA - GENERIČKE PARALELE - VI GR. 210, 220</t>
  </si>
  <si>
    <t>7.10.2016.
1 godine
2.1.1.-16/1022-1</t>
  </si>
  <si>
    <t>UGOVOR ZA JEDNOGODIŠNJU NABAVU LIJEKOVA - GENERIČKE PARALELE - VI GR. 227, 242, 250</t>
  </si>
  <si>
    <t>17.10.2016.
1 godine
2.1.1.-16/1021-2</t>
  </si>
  <si>
    <t>.Ugovor - isporuka ugradbenog i potrošnog materijala za intervencijsku radiologiju gr VI</t>
  </si>
  <si>
    <t>4.02.2016.
2.1.1.-16/1035-1
(1 godina)</t>
  </si>
  <si>
    <t>4.02.2017.</t>
  </si>
  <si>
    <t>Ugovor za nabavu ugradbenog i potrošnog materijala za neurokirurgiju II GR. 1</t>
  </si>
  <si>
    <t>11.10.2016.
2.1.1.-16/1003-2
(1 godina)</t>
  </si>
  <si>
    <t>Ugovor za nabavu ugradbenog i potrošnog materijala za neurokirurgiju I-2 GR. 38, 61, 62</t>
  </si>
  <si>
    <t>10.10.2016.
2.1.1.-16/1023-2
(1 godina)</t>
  </si>
  <si>
    <t>Okvirni sporazum za nabavu ugradbenog i potrošnog materijala za neurokirurgiju I-2 GR. 38, 49, 61, 62</t>
  </si>
  <si>
    <t>5.10.2016.
2.1.1.-16/1023-1
(1 godina)</t>
  </si>
  <si>
    <t>Okvirni sporazum za nabavu ugradbenog i potrošnog materijala za neurokirurgiju II GR 1</t>
  </si>
  <si>
    <t>6.10.2016.
2.1.1.-16/1023-1
(1 godina)</t>
  </si>
  <si>
    <t>OKVIRNI SPORAZUM ZA JEDNOGODIŠNJU NABAVU LIJEKOVA - GENERIČKE PARALELE - VI GR. 218, 221, 222, 223, 230, 231</t>
  </si>
  <si>
    <t>12.10.2016.
1 godine
2.1.1.-16/1020-1</t>
  </si>
  <si>
    <t>12.10.2017.</t>
  </si>
  <si>
    <t>Ugovor za nabavu ugradbenog i potrošnog materijala za neurokirurgiju I-2 GR 56</t>
  </si>
  <si>
    <t>10.10.2016.
2.1.1.-16/1027-2
(1 godina)</t>
  </si>
  <si>
    <t>MEDI-LAB d.o.o.</t>
  </si>
  <si>
    <t>Okvirni sporazum za nabavu ugradbenog i potrošnog materijala za neurokirurgiju I-2 GR. 56</t>
  </si>
  <si>
    <t>5.10.2016.
2.1.1.-16/1027-1
(1 godina)</t>
  </si>
  <si>
    <t>UGOVOR ZA JEDNOGODIŠNJU NABAVU LIJEKOVA - GENERIČKE PARALELE - VI GR. 218, 221, 222, 223, 230, 231</t>
  </si>
  <si>
    <t>17.10.2016.
1 godine
2.1.1.-16/1020-2</t>
  </si>
  <si>
    <t>.Ugovor - isporuka ugradbenog i potrošnog materijala za intervencijsku radiologiju gr III</t>
  </si>
  <si>
    <t>8.2.2016.
2.1.1.-16/1037-1
(1 godina)</t>
  </si>
  <si>
    <t>8.2.2017.</t>
  </si>
  <si>
    <t>30.09.2016.
2.1.1.-16/958-1
(1 godina)</t>
  </si>
  <si>
    <t>OPĆA ŽUPANIJSKA BOLNICA POŽEGA</t>
  </si>
  <si>
    <t>4, 16, 17, 54</t>
  </si>
  <si>
    <t>11.07.</t>
  </si>
  <si>
    <t>13.07.</t>
  </si>
  <si>
    <t>OPĆA ŽUPANIJSKA BOLNICA VINKOVCI</t>
  </si>
  <si>
    <t>4, 17, 35</t>
  </si>
  <si>
    <t>04.07.</t>
  </si>
  <si>
    <t xml:space="preserve">6, 11 </t>
  </si>
  <si>
    <t>.Ugovor - isporuka ugradbenog i potrošnog materijala za intervencijsku radiologiju gr I</t>
  </si>
  <si>
    <t>10.2.2016.
2.1.1.-16/1033-1
(1 godina)</t>
  </si>
  <si>
    <t>404, 425</t>
  </si>
  <si>
    <t>8.9.2016.
1 godina
2.1.1.-16/783-1</t>
  </si>
  <si>
    <t>KLINIČKA BOLNICA MERKUR</t>
  </si>
  <si>
    <t>386, 407</t>
  </si>
  <si>
    <t>23.9.2016.
1 godina
2.1.1.-16/782-1</t>
  </si>
  <si>
    <t>389, 390, 391, 395, 396, 403, 414, 425</t>
  </si>
  <si>
    <t>19.9.2016.
1 godina
2.1.1.-16/783-1</t>
  </si>
  <si>
    <t>8.9.2016.
1 godina
2.1.1.-16/784-1</t>
  </si>
  <si>
    <t>383, 400, 406, 419, 420, 426, 427</t>
  </si>
  <si>
    <t>8.9.2016.
1 godina
2.1.1.-16/781-1</t>
  </si>
  <si>
    <t>19.9.2016.
1 godina
2.1.1.-16/784-1</t>
  </si>
  <si>
    <t>21.9.2016.
1 godina
2.1.1.-16/782-1</t>
  </si>
  <si>
    <t>43, 52, 53, 54, 60, 62, 63, 64, 82</t>
  </si>
  <si>
    <t>26.09.</t>
  </si>
  <si>
    <t>26.9.2016.
1 godina
5.7.1-16/5-5</t>
  </si>
  <si>
    <t>26.9.2016.
1 godina
2.1.1.-16/788-1</t>
  </si>
  <si>
    <t>50, 51, 61, 65, 81</t>
  </si>
  <si>
    <t>50, 51, 61, 81</t>
  </si>
  <si>
    <t>55, 56, 57, 69, 70, 71, 72, 73, 74, 76, 77, 83</t>
  </si>
  <si>
    <t>43, 52, 53, 54, 60, 62, 66, 68, 82</t>
  </si>
  <si>
    <t>20.9.2016.
1 godina
2.1.1.-16/786-1</t>
  </si>
  <si>
    <t>UGRADBENI I POTROŠNI MATERIJAL ZA INVAZIVNU I INTERVENCIJSKU KARDIOLOGIJU</t>
  </si>
  <si>
    <t>29.04.</t>
  </si>
  <si>
    <t>.Ugovor - isporuka ugradbenog i potrošnog materijala za intervencijsku radiologiju gr XIX</t>
  </si>
  <si>
    <t>8.2.2016.
2.1.1.-16/1044-1
(1 godina)</t>
  </si>
  <si>
    <t>17.10.2016
2.1.1.-16/1086-1
(6 mjeseci)</t>
  </si>
  <si>
    <t>Nabava lijekova - III, gr. 1</t>
  </si>
  <si>
    <t>17.10.2016
2.1.1.-16/1087-1
(6 mjeseci)</t>
  </si>
  <si>
    <t>Nabava lijekova - III, gr. 2</t>
  </si>
  <si>
    <t>17.10.2016
2.1.1.-16/1088-1
(6 mjeseci)</t>
  </si>
  <si>
    <t>Nabava lijekova - IV A</t>
  </si>
  <si>
    <t>14.10.2016
2.1.1.-16/1078-1
(6 mjeseci)</t>
  </si>
  <si>
    <t>.Ugovor - isporuka ugradbenog i potrošnog materijala za intervencijsku radiologiju gr XV I XX</t>
  </si>
  <si>
    <t>11.2.2016.
2.1.1.-16/1046-1
(1 godina)</t>
  </si>
  <si>
    <t>Ugovor za nabavu ugradbenog i potrošnog materijala za neurokirurgiju I-3 GR 86, 91, 92, 93, 100, 104, 106</t>
  </si>
  <si>
    <t>18.10.2016
2.1.1.-16/1067-2
(1 godina)</t>
  </si>
  <si>
    <t>Okvirni sporazum za nabavu ugradbenog i potrošnog materijala za neurokirurgiju I-3 GR 86, 91, 92, 93, 100, 104, 106</t>
  </si>
  <si>
    <t>17.10.2016
2.1.1.-16/1067-1
(1 godina)</t>
  </si>
  <si>
    <t>2, 5, 8, 9, 10, 15, 16, 19, 20, 21, 22, 37, 38, 39</t>
  </si>
  <si>
    <t>24, 28, 34</t>
  </si>
  <si>
    <t>1, 23, 27, 40, 41</t>
  </si>
  <si>
    <t>3, 4, 31</t>
  </si>
  <si>
    <t>32, 33</t>
  </si>
  <si>
    <t>1, 23, 40, 41</t>
  </si>
  <si>
    <t>12.09.</t>
  </si>
  <si>
    <t>12.09.2016.
1 godina
2.1.1.-16/791-1</t>
  </si>
  <si>
    <t>5, 8, 13, 14, 15, 16, 19, 20, 21, 22, 37, 38, 39</t>
  </si>
  <si>
    <t>12.09.2016.
1 godina
2.1.1.-16/793-1</t>
  </si>
  <si>
    <t>12.09.2016.
1 godina
2.1.1.-16/792-1</t>
  </si>
  <si>
    <t>12.09.2016.
1 godina
2.1.1.-16/795-1</t>
  </si>
  <si>
    <t>1, 40</t>
  </si>
  <si>
    <t>8, 9, 11, 20, 21, 22, 37, 38</t>
  </si>
  <si>
    <t>1, 40, 41</t>
  </si>
  <si>
    <t>4, 31</t>
  </si>
  <si>
    <t>12.09.2016.
1 godina
5.7.1.-16/3-5</t>
  </si>
  <si>
    <t>12.09.2016.
1 godina
2.1.1.-16/794-1</t>
  </si>
  <si>
    <t>12.09.2016.
1 godina
5.7.1.-16/3-35</t>
  </si>
  <si>
    <t>12.09.2016.
1 godina
5.7.1.-16/3-27</t>
  </si>
  <si>
    <t>12.09.2016.
1 godina
5.7.1.-16/3-4</t>
  </si>
  <si>
    <t>12.09.2016.
1 godina
5.7.1.-16/3-34</t>
  </si>
  <si>
    <t>1, 27, 40, 41</t>
  </si>
  <si>
    <t>8, 12, 14, 18, 19, 21, 22, 37, 38</t>
  </si>
  <si>
    <t>26.9.2016.
1 godina
2.1.1.-16/786-1</t>
  </si>
  <si>
    <t>50, 51</t>
  </si>
  <si>
    <t>26.9.2016.
1 godina
2.1.1.-16/787-1</t>
  </si>
  <si>
    <t>55, 56, 57, 69, 70, 71, 72, 74, 76, 77</t>
  </si>
  <si>
    <t>26.9.2016.
1 godina
2.1.1.-16/785-1</t>
  </si>
  <si>
    <t>26.9.2016.
1 godina
2.1.1.</t>
  </si>
  <si>
    <t>26.9.2016.
1 godina
2.1.1.-132/16</t>
  </si>
  <si>
    <t>26.9.2016.
1 godina
2.1.1.-131/16</t>
  </si>
  <si>
    <t>26.9.2016.
1 godina
2.1.1.-</t>
  </si>
  <si>
    <t>26.9.2016.
1 godina
5.7.1-16/5-12</t>
  </si>
  <si>
    <t>26.9.2016.
1 godina
5.7.1-16/5-7</t>
  </si>
  <si>
    <t>26.9.2016.
1 godina
2.1.1.-16/790-1</t>
  </si>
  <si>
    <t>26.9.2016.
1 godina
2.1.1.-16/789-1</t>
  </si>
  <si>
    <t>43, 52, 53, 54, 60, 62, 63, 64, 66, 68, 82</t>
  </si>
  <si>
    <t>52, 54, 66, 68, 82</t>
  </si>
  <si>
    <t>45, 48</t>
  </si>
  <si>
    <t>50, 51, 61</t>
  </si>
  <si>
    <t>55, 69, 71, 76</t>
  </si>
  <si>
    <t>Ugovor za nabavu izvora zračenja Ir-192 za ginekološku brahiterapiju Flexitron</t>
  </si>
  <si>
    <t>1.1.2.A.127</t>
  </si>
  <si>
    <t>20.10.2016.
2.1.1.-16/1151-1
(1 godina)</t>
  </si>
  <si>
    <t>UGOVOR ZA JEDNOGODIŠNJU NABAVU LIJEKOVA - GENERIČKE PARALELE - VII GR. 262, 264, 265</t>
  </si>
  <si>
    <t>10.10.2016.
1 godine
2.1.1.-16/998-2</t>
  </si>
  <si>
    <t>UGOVOR ZA JEDNOGODIŠNJU NABAVU LIJEKOVA - GENERIČKE PARALELE - IX GR. 338</t>
  </si>
  <si>
    <t>3.10.2016.
1 godine
2.1.1.-16/988-2</t>
  </si>
  <si>
    <t>UGOVOR ZA JEDNOGODIŠNJU NABAVU LIJEKOVA - GENERIČKE PARALELE - VI GR. 210, 220</t>
  </si>
  <si>
    <t>17.10.2016.
1 godine
2.1.1.-16/1022-2</t>
  </si>
  <si>
    <t>Okvirni sporazum za nabavu ugradbenog i potrošnog materijala za neurokirurgiju I-3 GR 75, 76</t>
  </si>
  <si>
    <t>17.10.2016
2.1.1.-16/1065-1
(1 godina)</t>
  </si>
  <si>
    <t>Ugovor za nabavu ugradbenog i potrošnog materijala za neurokirurgiju I-3 GR 75, 76</t>
  </si>
  <si>
    <t>18.10.2016
2.1.1.-16/1065-2
(1 godina)</t>
  </si>
  <si>
    <t>Okvirni sporazum za nabavu ugradbenog i potrošnog materijala za neurokirurgiju I-3 GR 72, 87, 102, 103, 107</t>
  </si>
  <si>
    <t>17.10.2016
2.1.1.-16/1064-1
(1 godina)</t>
  </si>
  <si>
    <t>18.10.2016
2.1.1.-16/1064-2
(1 godina)</t>
  </si>
  <si>
    <t>Ugovor za nabavu ugradbenog i potrošnog materijala za neurokirurgiju I-3 GR 72, 87, 102, 107</t>
  </si>
  <si>
    <t>Okvirni sporazum za nabavu elektrostimulatora srca gr 3, 9, 16, 19, 27, 30</t>
  </si>
  <si>
    <t>20.10.2016
2.1.1.-16/1097-1
(1 godina)</t>
  </si>
  <si>
    <t>Ugovor za nabavu elektrostimulatora srca gr 2, 5, 6, 8, 10, 11, 13, 15, 20, 22, 24, 26, 28, 31, 33, 34, 35, 37, 38</t>
  </si>
  <si>
    <t>21.10.2016
2.1.1.-16/1096-2
(1 godina)</t>
  </si>
  <si>
    <t>Okvirni sporazum za nabavu elektrostimulatora srca gr 2, 5, 6, 8, 10, 11, 13, 15, 20, 22, 24, 26, 28, 31, 33, 34, 35, 37, 38</t>
  </si>
  <si>
    <t>20.10.2016
2.1.1.-16/1096-1
(1 godina)</t>
  </si>
  <si>
    <t>Ugovor - isporuka rukavica za potrebe javnih ustanova gr XIX i XX</t>
  </si>
  <si>
    <t>25.03.2016.
2.1.1.-16/979-1
(1 godina)</t>
  </si>
  <si>
    <t>.Ugovor - isporuka ugradbenog i potrošnog materijala za intervencijsku radiologiju gr XIII</t>
  </si>
  <si>
    <t>8.02.2016.
2.1.1.-16/1041-1
(1 godina)</t>
  </si>
  <si>
    <t>Opća županijska bolnica Vukovar i Bolnica hrvatskih veterena</t>
  </si>
  <si>
    <t>2, 5, 6, 8, 9, 10, 11, 12, 13, 14, 15, 16, 17, 18, 19, 20, 21, 22, 37, 38, 39</t>
  </si>
  <si>
    <t>21.9.2016.
1 godina
2.1.1.-16/784-1</t>
  </si>
  <si>
    <t>386, 407, 417</t>
  </si>
  <si>
    <t>22.09.</t>
  </si>
  <si>
    <t>22.9.2016.
1 godina
2.1.1.-16/782-1</t>
  </si>
  <si>
    <t>410, 412, 422</t>
  </si>
  <si>
    <t>15.9.2016.
1 godina
2.1.1.-16/784-1</t>
  </si>
  <si>
    <t>389, 391</t>
  </si>
  <si>
    <t>15.9.2016.
1 godina
2.1.1.-16/783-1</t>
  </si>
  <si>
    <t>400, 401, 406, 419, 420</t>
  </si>
  <si>
    <t>15.9.2016.
1 godina
2.1.1.-16/781-1</t>
  </si>
  <si>
    <t>Jednogodišnja nabava medicinskog potrošnog materijala za potrebe mikrobiologije-I, gr. 19</t>
  </si>
  <si>
    <t>24.10.2016.
2.1.1.-16/1111-1
(1 godina)</t>
  </si>
  <si>
    <t>24.10.2017.</t>
  </si>
  <si>
    <t>Jednogodišnja nabava medicinskog potrošnog materijala za potrebe patologije - I gr 1, 3, 11, 25, 26</t>
  </si>
  <si>
    <t>24.10.2016.
2.1.1.-16/1099-1
(1 godina)</t>
  </si>
  <si>
    <t>Okvirni sporazum za nabavu elektrostimulatora srca gr 4, 7, 14, 17, 18, 21, 23, 25, 29, 32</t>
  </si>
  <si>
    <t>20.10.2016
2.1.1.-16/1095-1
(1 godina)</t>
  </si>
  <si>
    <t>22.8.2016.
1 godina
2.1.1.-16/785-1</t>
  </si>
  <si>
    <t>43, 52, 53, 54, 59, 60, 62, 63, 64, 66, 68, 82</t>
  </si>
  <si>
    <t>24.8.2016.
1 godina
2.1.1.-16/790-1</t>
  </si>
  <si>
    <t>24.8.2016.
1 godina
2.1.1.-16/788-1</t>
  </si>
  <si>
    <t>GENERIČKE PARALELE IV</t>
  </si>
  <si>
    <t>10.10.</t>
  </si>
  <si>
    <t>10.10.2016.
1 godina
139/16</t>
  </si>
  <si>
    <t>okvirni 8</t>
  </si>
  <si>
    <t>29.04.2016.
1 godina
20/2016</t>
  </si>
  <si>
    <t>29.04.2016.
1 godina
21/2016</t>
  </si>
  <si>
    <t>okvirni 7</t>
  </si>
  <si>
    <t>okvirni 10</t>
  </si>
  <si>
    <t>29.04.2016.
1 godina
23/2016</t>
  </si>
  <si>
    <t>okvirni 11, 19</t>
  </si>
  <si>
    <t>29.04.2016.
1 godina
24/2016</t>
  </si>
  <si>
    <t>okvirni 9, 14, 21</t>
  </si>
  <si>
    <t>29.04.2016.
1 godina
22/2016</t>
  </si>
  <si>
    <t>okvirni 6</t>
  </si>
  <si>
    <t>29.04.2016.
1 godina
19/2016</t>
  </si>
  <si>
    <t>okvirni 12</t>
  </si>
  <si>
    <t>29.04.2016.
1 godina
25/2016</t>
  </si>
  <si>
    <t>okvirni 4</t>
  </si>
  <si>
    <t>29.04.2016.
1 godina
17/2016</t>
  </si>
  <si>
    <t>okvirni 15</t>
  </si>
  <si>
    <t>29.04.2016.
1 godina
27/2016</t>
  </si>
  <si>
    <t>okvirni 3</t>
  </si>
  <si>
    <t>29.04.2016.
1 godina
16/2016</t>
  </si>
  <si>
    <t>okvirni 2</t>
  </si>
  <si>
    <t>29.04.2016.
1 godina
15/2016</t>
  </si>
  <si>
    <t>okvirni 16</t>
  </si>
  <si>
    <t>29.04.2016.
1 godina
28/2016</t>
  </si>
  <si>
    <t>okvirni 20</t>
  </si>
  <si>
    <t>29.04.2016.
1 godina
30/2016</t>
  </si>
  <si>
    <t>GENERIČKE PARALELE III</t>
  </si>
  <si>
    <t>10.10.2016.
1 godina
149/16</t>
  </si>
  <si>
    <t>10.10.2016.
1 godina
150/16</t>
  </si>
  <si>
    <t>2, 5, 6, 8, 12, 13, 15, 18, 19, 20, 21, 22, 37, 38</t>
  </si>
  <si>
    <t>43, 52, 53, 54, 59, 60, 62, 66, 68, 82</t>
  </si>
  <si>
    <t>27.09.</t>
  </si>
  <si>
    <t>27.9.2016.
1 godina
2.1.1.-16/790-1</t>
  </si>
  <si>
    <t>380, 381, 382, 383, 385, 387, 388, 392, 400, 406, 419, 420, 421, 424, 427</t>
  </si>
  <si>
    <t xml:space="preserve">27.09. </t>
  </si>
  <si>
    <t>27.9.2016.
1 godina
2.1.1.-16/781-1</t>
  </si>
  <si>
    <t>UGOVOR ZA NABAVU LIJEKOVA - V gr 1</t>
  </si>
  <si>
    <t>07.10.2016.
6 mjeseca
2.1.1.-16/1005-1</t>
  </si>
  <si>
    <t>07.4.2017.</t>
  </si>
  <si>
    <t xml:space="preserve">UGOVOR ZA NABAVU LIJEKOVA - VII </t>
  </si>
  <si>
    <t>14.10.2016.
6 mjeseca
2.1.1.-16/1069-1</t>
  </si>
  <si>
    <t>14.4.2017.</t>
  </si>
  <si>
    <t>Ugovor za nabavu jednogodišnjeg obnavljanja licenci za antivirusni program NOD32</t>
  </si>
  <si>
    <t>2.2.5.B.1</t>
  </si>
  <si>
    <t>5.1.B5/6.49</t>
  </si>
  <si>
    <t>21.10.2016.
2.1.1.-16/1058-1</t>
  </si>
  <si>
    <t>21.10.2017.</t>
  </si>
  <si>
    <t>24.10.2016.
2.1.1.-16/1107-1
(1 godina)</t>
  </si>
  <si>
    <t>Ugovor za jednogodišnju nabavu medicinskog potrošnog materijala za mikrobiologiju - I gr 7, 8, 17, 32</t>
  </si>
  <si>
    <t>Ugovor za jednogodišnju nabavu medicinskog potrošnog materijala za potrebe patologije - I gr 5</t>
  </si>
  <si>
    <t>24.10.2016.
2.1.1.-16/1102-1
(1 godina)</t>
  </si>
  <si>
    <t xml:space="preserve">Okvirni sporazum za nabavu ugradbenog i potrošnog materijala za oftalmologiju gr 2, 3, 7, 19, 26, 27, 40, 43 </t>
  </si>
  <si>
    <t>10.10.2016
2.1.1.-16/1070-1
(1 godina)</t>
  </si>
  <si>
    <t xml:space="preserve">Ugovor za nabavu ugradbenog i potrošnog materijala za oftalmologiju gr 2, 3, 7, 19, 26, 27, 40, 43 </t>
  </si>
  <si>
    <t>11.10.2016
2.1.1.-16/1070-2
(1 godina)</t>
  </si>
  <si>
    <t>Ugovor za nabavu elektrostimulatora srca gr 3, 9, 16, 19, 27, 30</t>
  </si>
  <si>
    <t>21.10.2016
2.1.1.-16/1097-2
(1 godina)</t>
  </si>
  <si>
    <t>Ugovor za nabavu jednogodišnje usluge redovnog i preventivnog servisnog održavanja medicinske opreme i uređaja proizvođača Mocom, Otopront, Maquet, Bego, Moeller Medical, Weyermed i Peweta</t>
  </si>
  <si>
    <t>2.2.2.A.33</t>
  </si>
  <si>
    <t>24.10.2016.
2.1.1.-16/1106-1
(1 godina)</t>
  </si>
  <si>
    <t>Ugovor za jednogodišnju nabavu medicinskog potrošnog materijala za mikrobiologiju - I gr 29</t>
  </si>
  <si>
    <t>BIOMAX d.o.o.</t>
  </si>
  <si>
    <t>24.10.2016.
2.1.1.-16/1109-1
(1 godina)</t>
  </si>
  <si>
    <t>UGOVOR ZA NABAVU UGRADBENOG I POTROŠNOG MATERIJALA ZA NEUROKIRURGIJU - I-3 GR. 96, 97, 98, 99, 101, 105</t>
  </si>
  <si>
    <t>18.10.2016
2.1.1.-16/1068-2
(1 godina)</t>
  </si>
  <si>
    <t>OKVIRNI SPORAZUM ZA NABAVU UGRADBENOG I POTROŠNOG MATERIJALA ZA NEUROKIRURGIJU - I-3 GR. 96, 97, 98, 99, 101, 105</t>
  </si>
  <si>
    <t>17.10.2016
2.1.1.-16/1068-1
(1 godina)</t>
  </si>
  <si>
    <t>OPĆA BOLNICA I BOLNICA BRANITELJA DOMOVINSKOG RATA OGULIN</t>
  </si>
  <si>
    <t>10.10.2016.
1 godina
5.7.2-16/3-10</t>
  </si>
  <si>
    <t>10.10.2016.
1 godina
01-24/66</t>
  </si>
  <si>
    <t>24.8.2016.
1 godina
01-24/67</t>
  </si>
  <si>
    <t>43, 52, 53, 54, 59, 60, 63, 64, 66, 68, 82</t>
  </si>
  <si>
    <t>24.8.2016.
1 godina
01-24/68</t>
  </si>
  <si>
    <t>55, 56, 57, 71, 72, 73, 74, 76, 77, 83</t>
  </si>
  <si>
    <t>22.8.2016.
1 godina
01-24/69</t>
  </si>
  <si>
    <t>389, 390, 391, 395, 396, 403, 404, 405, 425</t>
  </si>
  <si>
    <t>19.08.</t>
  </si>
  <si>
    <t>19.08.2016.
1 godina
01-24/57</t>
  </si>
  <si>
    <t>23.08.</t>
  </si>
  <si>
    <t>23.08.2016.
1 godina
01-24/58</t>
  </si>
  <si>
    <t>UGOVOR ZA NABAVU LIJEKOVA - III GR 3</t>
  </si>
  <si>
    <t>17.10.2016.
6 mjeseca
2.1.1.-16/1089-1</t>
  </si>
  <si>
    <t>17.4.2017.</t>
  </si>
  <si>
    <t>OKVIRNI SPORAZUM ZA JEDNOGODIŠNJU NABAVU LIJEKOVA - GENERIČKE PARALELE - VIII GR. 302, 307, 308, 326, 327, 328, 329</t>
  </si>
  <si>
    <t>21.10.2016.
1 godine
2.1.1.-16/1050-1</t>
  </si>
  <si>
    <t>Ugovor za nabavu jednogodišnje usluge servisnog održavanja centrifuga, laminair komora, CO2 inkubatora i zamrzivača proizvođača Heraeus-Kendro-Thermo Electron Corporation</t>
  </si>
  <si>
    <t>2.2.2.B.12</t>
  </si>
  <si>
    <t>KRAUS d.o.o.</t>
  </si>
  <si>
    <t>05.11.2016.
2.1.1.-16/1032-1</t>
  </si>
  <si>
    <t>Ugovor za jednogodišnju nabavu medicinskog potrošnog materijala za potrebe patologije - I gr 14, 22, 28, 32</t>
  </si>
  <si>
    <t>24.10.2016.
2.1.1.-16/1100-1
(1 godina)</t>
  </si>
  <si>
    <t>Ugovor za jednogodišnju nabavu medicinskog potrošnog materijala za mikrobiologiju - I gr 9, 11, 12, 22, 34</t>
  </si>
  <si>
    <t>24.10.2016.
2.1.1.-16/1108-1
(1 godina)</t>
  </si>
  <si>
    <t>Ugovor za nabavu elektrostimulatora srca gr 4, 7, 14, 17, 18, 21, 23, 25, 29, 32</t>
  </si>
  <si>
    <t>21.10.2016
2.1.1.-16/1095-2
(1 godina)</t>
  </si>
  <si>
    <t>22.08.2016.
1 godina
01-24/59</t>
  </si>
  <si>
    <t>382, 383, 385, 387, 388, 392, 400, 401, 406, 420, 421, 424, 426</t>
  </si>
  <si>
    <t>24.08.2016.
1 godina
01-24/60</t>
  </si>
  <si>
    <t>KLINIKA ZA PSIHIJATRIJU VRAPČE</t>
  </si>
  <si>
    <t>29.09.</t>
  </si>
  <si>
    <t>29.9.2016.
1 godina
2.1.1.-16/790-1</t>
  </si>
  <si>
    <t>07.10.</t>
  </si>
  <si>
    <t>07.10.2016.
1 godina
2.1.1.-16/785-1</t>
  </si>
  <si>
    <t>43, 53, 54, 60, 62, 64, 82</t>
  </si>
  <si>
    <t>12.10.</t>
  </si>
  <si>
    <t>12.10.2016.
1 godina
2.1.1.-16/788-1</t>
  </si>
  <si>
    <t>389, 390, 413, 414</t>
  </si>
  <si>
    <t>07.10.2016.
1 godina
2.1.1.-16/783-1</t>
  </si>
  <si>
    <t>400, 401, 406, 419, 421</t>
  </si>
  <si>
    <t>11.10.</t>
  </si>
  <si>
    <t>11.10.2016.
1 godina
2.1.1.-16/781-1</t>
  </si>
  <si>
    <t>07.10.2016.
1 godina
2.1.1.-16/784-1</t>
  </si>
  <si>
    <t>12.10.2016.
1 godina
2.1.1.-16/782-1</t>
  </si>
  <si>
    <t>86, 89, 95, 96, 97, 101, 107, 108, 117, 118, 121, 122, 123, 124</t>
  </si>
  <si>
    <t>90 ,91</t>
  </si>
  <si>
    <t>10.10.2016.
1 godina
2.1.1.-16/796-1</t>
  </si>
  <si>
    <t>10.10.2016.
1 godina
2.1.1.-16/799-1</t>
  </si>
  <si>
    <t>10.10.2016.
1 godina
2.1.1.-16/798-1</t>
  </si>
  <si>
    <t>84, 85, 104, 111, 112, 115</t>
  </si>
  <si>
    <t>10.10.2016.
1 godina
2.1.1.-16/797-1</t>
  </si>
  <si>
    <t>10.10.2016.
1 godina
151/16</t>
  </si>
  <si>
    <t>10.10.2016.
1 godina
152/16</t>
  </si>
  <si>
    <t>10.10.2016.
1 godina
153/16</t>
  </si>
  <si>
    <t>10.10.2016.
1 godina
154/16</t>
  </si>
  <si>
    <t>UGOVOR ZA JEDNOGODIŠNJU NABAVU LIJEKOVA - GENERIČKE PARALELE - VIII GR. 302, 307, 308, 326, 327, 328, 329</t>
  </si>
  <si>
    <t>25.10.2016.
1 godine
2.1.1.-16/1050-2</t>
  </si>
  <si>
    <t>25.10.2017.</t>
  </si>
  <si>
    <t>Ugovor za jednogodišnju nabavu medicinskog potrošnog materijala za potrebe patologije - I gr 4</t>
  </si>
  <si>
    <t>24.10.2016.
2.1.1.-16/1104-1
(1 godina)</t>
  </si>
  <si>
    <t>OKVIRNI SPORAZUM ZA NABAVU UGRADBENOG I POTROŠNOG MATERIJALA ZA NEUROKIRURGIJU - I-3 GR. 82, 83, 84, 88, 89, 90</t>
  </si>
  <si>
    <t>17.10.2016
2.1.1.-16/1066-1
(1 godina)</t>
  </si>
  <si>
    <t>UGOVOR ZA NABAVU UGRADBENOG I POTROŠNOG MATERIJALA ZA NEUROKIRURGIJU - I-3 GR. 82, 83, 84, 88, 89, 90</t>
  </si>
  <si>
    <t>18.10.2016
2.1.1.-16/1066-2
(1 godina)</t>
  </si>
  <si>
    <t xml:space="preserve">32, 33 </t>
  </si>
  <si>
    <t>07.10.2016.
1 godina
2.1.1.-16/795-1</t>
  </si>
  <si>
    <t>07.10.2016.
1 godina
2.1.1.-16/791-1</t>
  </si>
  <si>
    <t>07.10.2016.
1 godina
2.1.1.-16/794-1</t>
  </si>
  <si>
    <t>11, 12, 15, 16, 20, 21, 22, 37, 38</t>
  </si>
  <si>
    <t>11.10.2016.
1 godina
2.1.1.-16/793-1</t>
  </si>
  <si>
    <t>3, 31</t>
  </si>
  <si>
    <t>12.10.2016.
1 godina
2.1.1.-16/792-1</t>
  </si>
  <si>
    <t>50, 61, 81</t>
  </si>
  <si>
    <t>07.10.2016.
1 godina
2.1.1.-16/787-1</t>
  </si>
  <si>
    <t>OKVIRNI SPORAZUM ZA JEDNOGODIŠNJU NABAVU LIJEKOVA - GENERIČKE PARALELE - VIII GR. 309, 310, 313, 314, 317, 318, 319, 321, 333, 334, 335</t>
  </si>
  <si>
    <t>26.10.2016.
1 godine
2.1.1.-16/1051-1</t>
  </si>
  <si>
    <t>27.10.2017.</t>
  </si>
  <si>
    <t>OKVIRNI SPORAZUM ZA JEDNOGODIŠNJU NABAVU LIJEKOVA - GENERIČKE PARALELE - VIII GR. 297, 298, 300, 311, 315, 316, 322, 324, 336</t>
  </si>
  <si>
    <t>24.10.2016.
1 godine
2.1.1.-16/1049-1</t>
  </si>
  <si>
    <t>OKVIRNI SPORAZUM ZA JEDNOGODIŠNJU NABAVU LIJEKOVA - GENERIČKE PARALELE - VIII GR. 303, 304, 305, 306, 312</t>
  </si>
  <si>
    <t>24.10.2016.
1 godine
2.1.1.-16/1052-1</t>
  </si>
  <si>
    <t>25.10.2016.
1 godine
2.1.1.-16/1048-1</t>
  </si>
  <si>
    <t>Ugovor za jednogodišnju nabavu instrumentarija za potrebe stomatologije gr 2</t>
  </si>
  <si>
    <t>5.1.B.5/3.63</t>
  </si>
  <si>
    <t>25.10.2016.
2.1.1.-16/1118-1</t>
  </si>
  <si>
    <t>Ugovor za jednogodišnju nabavu instrumentarija za potrebe stomatologije gr 1</t>
  </si>
  <si>
    <t>25.10.2016.
2.1.1.-16/1117-1</t>
  </si>
  <si>
    <t>Ugovor za nabavu inkubatora za čuvanje rožnica za potrebe Hrvatske banke tkiva i stanica</t>
  </si>
  <si>
    <t>5.1.B.5/6.15</t>
  </si>
  <si>
    <t>18.10.2016.
2.1.1.-16/1060-1</t>
  </si>
  <si>
    <t>18.11.2016.</t>
  </si>
  <si>
    <t>Ugovor o jednogodišnjoj usluzi servisa kliznih vrata na lokacijama KBC-a Zagreb</t>
  </si>
  <si>
    <t>2.2.5.B.19</t>
  </si>
  <si>
    <t>25.10.2016.
2.1.1.-16/1115-1</t>
  </si>
  <si>
    <t>Ugovor za jednogodišnju nabavu medicinskog potrošnog materijala za mikrobiologiju - I gr 28</t>
  </si>
  <si>
    <t>24.10.2016.
2.1.1.-16/1110-1
(1 godina)</t>
  </si>
  <si>
    <t>Ugovor za jednogodišnju nabavu medicinskog potrošnog materijala za potrebe patologije - I gr 30</t>
  </si>
  <si>
    <t>24.10.2016.
2.1.1.-16/1103-1
(1 godina)</t>
  </si>
  <si>
    <t>Ugovor za jednogodišnju nabavu medicinskog potrošnog materijala za potrebe patologije - I gr 9, 27</t>
  </si>
  <si>
    <t>GOREA PLUS d.o.o.</t>
  </si>
  <si>
    <t>24.10.2016.
2.1.1.-16/1101-1
(1 godina)</t>
  </si>
  <si>
    <t>Ugovor za jednogodišnju nabavu medicinskog potrošnog materijala za mikrobiologiju - I gr 6</t>
  </si>
  <si>
    <t>TAMIKO INSTRUMENTS d.o.o.</t>
  </si>
  <si>
    <t>24.10.2016.
2.1.1.-16/1112-1
(1 godina)</t>
  </si>
  <si>
    <t>Ugovor za jednogodišnju nabavu višekratnog potrošnog materijala za medicinske uređaje proizvođača Fisher&amp;Pykel, VBM i Inspiration Healthcare</t>
  </si>
  <si>
    <t>27.10.2016.
2.1.1.-16/1155-1</t>
  </si>
  <si>
    <t>UGOVOR ZA JEDNOGODIŠNJU NABAVU LIJEKOVA - GENERIČKE PARALELE - VIII GR. 309, 310, 313, 314, 317, 318, 319, 321, 333, 334, 335</t>
  </si>
  <si>
    <t>25.10.2016.
1 godine
2.1.1.-16/1051-2</t>
  </si>
  <si>
    <t>UGOVOR ZA JEDNOGODIŠNJU NABAVU LIJEKOVA - GENERIČKE PARALELE - VIII GR. 297, 298, 300, 311, 315, 316, 322, 324, 336</t>
  </si>
  <si>
    <t>25.10.2016.
1 godine
2.1.1.-16/1049-2</t>
  </si>
  <si>
    <t>UGOVOR ZA JEDNOGODIŠNJU NABAVU LIJEKOVA - GENERIČKE PARALELE - VIII GR. 303, 304, 305, 306, 312</t>
  </si>
  <si>
    <t>25.10.2016.
1 godine
2.1.1.-16/1052-2</t>
  </si>
  <si>
    <t>OKVIRNI SPORAZUM ZA JEDNOGODIŠNJU NABAVU LIJEKOVA - GENERIČKE PARALELE - VIII GR. 294, 295, 296, 323, 325</t>
  </si>
  <si>
    <t>UGOVOR ZA JEDNOGODIŠNJU NABAVU LIJEKOVA - GENERIČKE PARALELE - VIII GR. 294, 295, 296, 323, 325</t>
  </si>
  <si>
    <t>25.10.2016.
1 godine
2.1.1.-16/1048-2</t>
  </si>
  <si>
    <t>Ugovor za jednogodišnju nabavu medicinskog potrošnog materijala za mikrobiologiju - I gr 15</t>
  </si>
  <si>
    <t>24.10.2016.
2.1.1.-16/1114-1
(1 godina)</t>
  </si>
  <si>
    <t>Ugovor za nabavu elektroenergetskog postrojenja za optimizaciju klimatizacijskog sustava za potrebe Klinike za ženske bolesti i porode</t>
  </si>
  <si>
    <t>5.1.A5/4.5</t>
  </si>
  <si>
    <t>MEPRO d.o.o.</t>
  </si>
  <si>
    <t>31.10.2016.
2.1.1.-16/1120-1
(1 godina)</t>
  </si>
  <si>
    <t>Ugovor za nabavu komora za klimatizaciju sustava za potrebe Klinike za ženske bolesti i porode</t>
  </si>
  <si>
    <t>5.1.A5/4.6</t>
  </si>
  <si>
    <t>31.10.2016.
2.1.1.-16/1121-1
(1 godina)</t>
  </si>
  <si>
    <t>147, 158, 159</t>
  </si>
  <si>
    <t>10.10.2016.
1 godina
5.7.1.-16/6-26 , 37 , 38</t>
  </si>
  <si>
    <t>126, 127, 132, 133, 144, 145, 148, 155, 157, 165</t>
  </si>
  <si>
    <t>10.10.2016.
1 godina
5.7.1.-16/6-5 , 6, 11, 12, 23, 24, 27, 34, 36, 44</t>
  </si>
  <si>
    <t>84, 85, 92, 93, 98, 100, 104, 111</t>
  </si>
  <si>
    <t>21.10.2016.
1 godina
5.7.2-16/3-4 , 5, 12, 13, 18, 20, 24, 31</t>
  </si>
  <si>
    <t>86, 89, 95, 97, 99, 101, 106, 107, 108, 117, 118, 119, 120, 121, 122, 123, 124</t>
  </si>
  <si>
    <t>11.10.2016.
1 godina
5.7.2-16/3-6 , 9, 15, 17, 19, 21, 26, 27, 28, 37, 38, 39, 40, 41, 42, 43, 44</t>
  </si>
  <si>
    <t xml:space="preserve"> </t>
  </si>
  <si>
    <t>86, 89, 95, 96, 97, 99, 101, 106, 107, 108, 116, 117, 118, 119, 120, 121, 122, 123, 124</t>
  </si>
  <si>
    <t>15.10.</t>
  </si>
  <si>
    <t>15.10.2016.
1 godina
2.1.1.-16/796-1</t>
  </si>
  <si>
    <t>15.10.2016.
1 godina
2.1.1.-16/798-1</t>
  </si>
  <si>
    <t>INTELIKON d.o.o.</t>
  </si>
  <si>
    <t>13.10.2016
2.1.1.-16/1043-1
(1 godina)</t>
  </si>
  <si>
    <t>Ugovor - isporuka ugradbenog i potrošnog materijala za intervencijsku radiologiju gr 17</t>
  </si>
  <si>
    <t>Ugovor - isporuka ugradbenog i potrošnog materijala za intervencijsku radiologiju gr 9</t>
  </si>
  <si>
    <t>7.10.2016
2.1.1.-16/1045-1
(1 godina)</t>
  </si>
  <si>
    <t>Ugovor za nabavu jednogodišnje usluge održavanja postrojenja za proizvodnju i distribuciju medicinskih plinova proizvođača Drager Medical na lokacijama KBC-a Zagreb</t>
  </si>
  <si>
    <t>2.2.2.A.78</t>
  </si>
  <si>
    <t>02.11.2016.
2.1.1.-16/1123-1
(1 godina)</t>
  </si>
  <si>
    <t>30.11.2016.</t>
  </si>
  <si>
    <t>02.11.2017.</t>
  </si>
  <si>
    <t>Ugovor za jednogodišnju uslugu servisnog održavanja medicinske opreme i uređaja proizvođača Shimadzu Europa GmbH, Planmed Oy, Fujifilm Europe GmbH</t>
  </si>
  <si>
    <t>2.2.2.A.39</t>
  </si>
  <si>
    <t>02.11.2016.
2.1.1.-16/1178-1
(1 godina)</t>
  </si>
  <si>
    <t>84, 85, 93, 98, 100, 104, 111, 112, 115</t>
  </si>
  <si>
    <t>13.10.</t>
  </si>
  <si>
    <t>13.10.2016.
1 godina
2.1.1.-16/797-1</t>
  </si>
  <si>
    <t>87, 103</t>
  </si>
  <si>
    <t>12.10.2016.
1 godina
2.1.1.-16/799-1</t>
  </si>
  <si>
    <t>142, 143</t>
  </si>
  <si>
    <t>17.10.</t>
  </si>
  <si>
    <t>17.10.2016.
1 godina
2.1.1.-16/872-1</t>
  </si>
  <si>
    <t>136, 138, 141</t>
  </si>
  <si>
    <t>10.10.2016.
1 godina
2.1.1.-16/873-1</t>
  </si>
  <si>
    <t>126, 132, 133, 144, 148, 155, 157, 165</t>
  </si>
  <si>
    <t>13.10.2016.
1 godina
2.1.1.-16/870-1</t>
  </si>
  <si>
    <t>158, 159</t>
  </si>
  <si>
    <t>18.10.</t>
  </si>
  <si>
    <t>18.10.2016.
1 godina
2.1.1.-16/871-1</t>
  </si>
  <si>
    <t>PHOENIX Farmacija d.o.o.</t>
  </si>
  <si>
    <t>130, 131, 134, 151, 160, 161, 166</t>
  </si>
  <si>
    <t>19.10.</t>
  </si>
  <si>
    <t>19.10.2016.
1 godina
2.1.1.-16/868-1</t>
  </si>
  <si>
    <t>149, 153, 164</t>
  </si>
  <si>
    <t>25.10.</t>
  </si>
  <si>
    <t>25.10.2016.
1 godina
2.1.1.-16/869-1</t>
  </si>
  <si>
    <t>Ugovor za nabavu prijenosnih uređaja za filtraciju zraka</t>
  </si>
  <si>
    <t>5.1.B5/6.56</t>
  </si>
  <si>
    <t>INVENTO PRO d.o.o.</t>
  </si>
  <si>
    <t>04.11.2016.
2.1.1.-16/1127-1</t>
  </si>
  <si>
    <t>Ugovor za jednogodišnju uslugu zbrinjavanja biorazgradivog otpada iz kuhinja za grupu predmeta nabave I</t>
  </si>
  <si>
    <t>2.2.A.8</t>
  </si>
  <si>
    <t>EKO-FLOR PLUS d.o.o.</t>
  </si>
  <si>
    <t>31.10.2016.
2.1.1.-16/1156-1
(1 godina)</t>
  </si>
  <si>
    <t>31.10.2017.</t>
  </si>
  <si>
    <t>Ugovor za jednogodišnju nabavu medicinskog potrošnog materijala za mikrobiologiju - I gr 13</t>
  </si>
  <si>
    <t>24.10.2016.
2.1.1.-16/1113-1
(1 godina)</t>
  </si>
  <si>
    <t>2016/S 002-0009212</t>
  </si>
  <si>
    <t>126, 127, 128, 132, 133, 139, 144, 145, 148, 155, 157, 165</t>
  </si>
  <si>
    <t>05.10.</t>
  </si>
  <si>
    <t>05.10.2016.
1 godina
2.1.1.-16/870-1</t>
  </si>
  <si>
    <t>140, 147, 158, 159</t>
  </si>
  <si>
    <t>05.10.2016.
1 godina
2.1.1.-16/871-1</t>
  </si>
  <si>
    <t>130, 131, 134, 150, 151, 160, 161, 162</t>
  </si>
  <si>
    <t>05.10.2016.
1 godina
2.1.1.-16/868-1</t>
  </si>
  <si>
    <t>05.10.2016.
1 godina
2.1.1.-16/869-1</t>
  </si>
  <si>
    <t>142, 143, 146</t>
  </si>
  <si>
    <t>05.10.2016.
1 godina
2.1.1.-16/872-1</t>
  </si>
  <si>
    <t>136, 137, 138, 141</t>
  </si>
  <si>
    <t>05.10.2016.
1 godina
2.1.1.-16/873-1</t>
  </si>
  <si>
    <t>268, 269, 270, 272, 273, 274, 275, 276, 291</t>
  </si>
  <si>
    <t>24.10.</t>
  </si>
  <si>
    <t>24.10.2016.
1 godina
5.7.1.-16/9-18</t>
  </si>
  <si>
    <t>24.10.2016.
1 godina
5.7.2.-16/3-7</t>
  </si>
  <si>
    <t>KLINIČKI BOLNIČKI CENTAR OSIJEK</t>
  </si>
  <si>
    <t>5, 6, 8, 12, 13, 17, 18, 20, 21, 22, 37, 38</t>
  </si>
  <si>
    <t>19.10.2016.
1 godina
011-02/15-01/45</t>
  </si>
  <si>
    <t>05.10.2016.
1 godina
011-02/15-01/45</t>
  </si>
  <si>
    <t>13.10.2016.
1 godina
011-02/15-01/45</t>
  </si>
  <si>
    <t>07.10.2016.
1 godina
011-02/15-01/45</t>
  </si>
  <si>
    <t>KLINIKA ZA DJEČJE BOLESTI ZAGREB</t>
  </si>
  <si>
    <t>5, 6, 8, 9, 10, 19, 20, 21</t>
  </si>
  <si>
    <t>18.10.2016.
1 godina
011-02/15-01/45</t>
  </si>
  <si>
    <t>18.10.2016.
1 godina
2.1.1.-16/793-1</t>
  </si>
  <si>
    <t>24, 34</t>
  </si>
  <si>
    <t>10.10.2016.
1 godina
011-02/15-01/45</t>
  </si>
  <si>
    <t>1, 23</t>
  </si>
  <si>
    <t>06.10.</t>
  </si>
  <si>
    <t>06.10.2016.
1 godina
011-02/15-01/45</t>
  </si>
  <si>
    <t>55, 56, 69, 71, 72, 73, 74, 76, 77, 83</t>
  </si>
  <si>
    <t xml:space="preserve">50 ,51, 81 </t>
  </si>
  <si>
    <t>11.10.2016.
1 godina
011-02/15-01/45</t>
  </si>
  <si>
    <t>86, 89, 95, 96, 97, 99, 101, 107, 108, 118, 120, 121, 122, 123, 124</t>
  </si>
  <si>
    <t>17.10.2016.
1 godina
011-02/15-01/45</t>
  </si>
  <si>
    <t>103, 110</t>
  </si>
  <si>
    <t>86, 89, 95, 96, 97, 101, 106, 107, 108, 116, 117, 118, 119, 120, 121, 122, 123, 124</t>
  </si>
  <si>
    <t>19.10.2016.
1 godina
2.1.1.-16/796-1</t>
  </si>
  <si>
    <t>87, 103, 110</t>
  </si>
  <si>
    <t>26.10.</t>
  </si>
  <si>
    <t>26.10.2016.
1 godina
2.1.1.-16/799-1</t>
  </si>
  <si>
    <t>90, 91</t>
  </si>
  <si>
    <t>07.10.2016.
1 godina
2.1.1.-16/798-1</t>
  </si>
  <si>
    <t>84, 93, 102, 104, 112, 115</t>
  </si>
  <si>
    <t>18.10.2016.
1 godina
2.1.1.-16/797-1</t>
  </si>
  <si>
    <t>04.10.</t>
  </si>
  <si>
    <t>04.10.2016.
1 godina
2.1.1.-16/798-1</t>
  </si>
  <si>
    <t>04.10.2016.
1 godina
2.1.1.-16/799-1</t>
  </si>
  <si>
    <t>Ugovor za nabavu tamdemskog spektrometra mase s tekućinskom kromatografijom</t>
  </si>
  <si>
    <t>5.1.A5/4.8</t>
  </si>
  <si>
    <t>2016/S 002-0019050</t>
  </si>
  <si>
    <t>23.12.2016.</t>
  </si>
  <si>
    <t>Ugovor za nabavu HPLC kromatografskog sustava za kontrolu kakvoće PET i SPECT radiofarmaka</t>
  </si>
  <si>
    <t>5.1.A.5/5.1</t>
  </si>
  <si>
    <t>2016/S 002-0020101</t>
  </si>
  <si>
    <t xml:space="preserve">07.11.2016.
2.1.1.-16/1177-1
</t>
  </si>
  <si>
    <t>08.12.2016.</t>
  </si>
  <si>
    <t xml:space="preserve">07.11.2016.
2.1.1.-16/1183-1
</t>
  </si>
  <si>
    <t>86, 89, 95, 96, 97, 101, 108, 117, 118, 120, 121, 122, 124</t>
  </si>
  <si>
    <t>12.10.2016.
1 godina
2.1.1.-16/796-1</t>
  </si>
  <si>
    <t>126, 127, 132, 133, 144, 148, 155, 157, 165</t>
  </si>
  <si>
    <t>18.10.2016.
1 godina
2.1.1.-16/785-1</t>
  </si>
  <si>
    <t>153, 164</t>
  </si>
  <si>
    <t>26.10.2016.
1 godina
2.1.1.-16/869-1</t>
  </si>
  <si>
    <t>07.10.2016.
1 godina
2.1.1.-16/871-1</t>
  </si>
  <si>
    <t>20.10.</t>
  </si>
  <si>
    <t>20.10.2016.
1 godina
2.1.1.-16/872-1</t>
  </si>
  <si>
    <t>07.10.2016.
1 godina
2.1.1.-16/873-1</t>
  </si>
  <si>
    <t>18.10.2016.
1 godina
2.1.1.-16/872-1</t>
  </si>
  <si>
    <t>06.10.2016.
1 godina
2.1.1.-16/871-1</t>
  </si>
  <si>
    <t>126, 127, 132, 144, 148, 155, 157, 165</t>
  </si>
  <si>
    <t>06.10.2016.
1 godina
2.1.1.-16/870-1</t>
  </si>
  <si>
    <t>06.10.2016.
1 godina
2.1.1.-16/873-1</t>
  </si>
  <si>
    <t>131, 134, 160, 161, 162</t>
  </si>
  <si>
    <t>18.10.2016.
1 godina
2.1.1.-16/868-1</t>
  </si>
  <si>
    <t>2, 5, 6, 8, 9, 10, 12, 13, 15, 16, 17, 18, 19, 20, 21, 22, 37, 38, 39</t>
  </si>
  <si>
    <t>20, 33, 53</t>
  </si>
  <si>
    <t>14.10.</t>
  </si>
  <si>
    <t>14.10.2016.
1 godina
2.1.1.-16/1002-1</t>
  </si>
  <si>
    <t>2016/S 002-0019070</t>
  </si>
  <si>
    <t>2016/S 002-0020314</t>
  </si>
  <si>
    <t>2016/S 002-0019467</t>
  </si>
  <si>
    <t>2016/S 002-0019960</t>
  </si>
  <si>
    <t>2016/S 002-0019957</t>
  </si>
  <si>
    <t>2016/S 002-0012643</t>
  </si>
  <si>
    <t>2016/S 002-0015382</t>
  </si>
  <si>
    <t>2016/S 002-0018205</t>
  </si>
  <si>
    <t>2016/S 002-0011104</t>
  </si>
  <si>
    <t>Ugovor za nabavu uređaja za virusnu i bakterijsku inaktivaciju glave bedrene kosti gr I</t>
  </si>
  <si>
    <t>5.1.B5/4.16</t>
  </si>
  <si>
    <t>09.12.2016.</t>
  </si>
  <si>
    <t>08.11.2016.
2.1.1.-16/1199-1</t>
  </si>
  <si>
    <t>Ugovor za jednogodišnju uslugu popravka unutarnjih vodovodnih instalacija na lokacijama KBC-a Zagreb</t>
  </si>
  <si>
    <t>2.2.1.B.8</t>
  </si>
  <si>
    <t>259, 261, 263, 267, 283, 287, 289, 292</t>
  </si>
  <si>
    <t>20.10.2016.
1 godina
5.7.1.-16/9-9</t>
  </si>
  <si>
    <t>271, 279, 285, 286</t>
  </si>
  <si>
    <t>27.10.</t>
  </si>
  <si>
    <t>27.10.2016.
1 godina
5.7.1.-16/9-21</t>
  </si>
  <si>
    <t>Ugovor za jednogodišnju nabavu posuđa, pribora i ostalih kuhinjskih pomagala gr I, II i IV</t>
  </si>
  <si>
    <t>2016/S 002-0019509</t>
  </si>
  <si>
    <t>PROJECT-TRADE d.o.o.</t>
  </si>
  <si>
    <t xml:space="preserve">10.11.2016.
2.1.1.-16/1191-1
</t>
  </si>
  <si>
    <t>10.11.2017.</t>
  </si>
  <si>
    <t>Ugovor za nabavu UZV uređaja za pedijatriju</t>
  </si>
  <si>
    <t>5.1.B5/6.21</t>
  </si>
  <si>
    <t>Ugovor za nabavu medicinskog potrošnog materijala za potrebe endoskopske kirurgije gr 57</t>
  </si>
  <si>
    <t>2016/S 002-0009331</t>
  </si>
  <si>
    <t xml:space="preserve">08.11.2016.
2.1.1.-16/1189-1
</t>
  </si>
  <si>
    <t>01.02.2017.</t>
  </si>
  <si>
    <t>2.2.2.A.76</t>
  </si>
  <si>
    <t>2016/S 002-0020118</t>
  </si>
  <si>
    <t>28.11.2017.</t>
  </si>
  <si>
    <t>Ugovor o jednogodišnjoj usluzi servisnog održavanja CT uređaja GE HEALTHCARE BRIGHTSPEED 16SL</t>
  </si>
  <si>
    <t>20.10.2016.
1 godina
5.7.1.-16/9-15</t>
  </si>
  <si>
    <t>21.10.</t>
  </si>
  <si>
    <t>21.10.2016.
1 godina
5.7.1-16/6-21, 22, 25</t>
  </si>
  <si>
    <t>125, 149, 153, 163, 164</t>
  </si>
  <si>
    <t>14.10.2016.
1 godina
5.7.1-16/6-4, 28, 32, 42, 43</t>
  </si>
  <si>
    <t>138, 141</t>
  </si>
  <si>
    <t>14.10.2016.
1 godina
5.7.1-16/6-17, 20</t>
  </si>
  <si>
    <t>351, 352</t>
  </si>
  <si>
    <t>28.10.</t>
  </si>
  <si>
    <t>28.10.2016.
1 godina
5.7.1.-16/11-11, 12</t>
  </si>
  <si>
    <t>24.10.2016.
1 godina
5.7.1.-16/11-7</t>
  </si>
  <si>
    <t>24.10.2016.
1 godina
5.7.1.-16/11-4</t>
  </si>
  <si>
    <t>342, 343, 360, 361, 362, 363, 366, 379</t>
  </si>
  <si>
    <t>24.10.2016.
1 godina
5.7.1.-16/11-8, 9, 19, 20, 21, 22, 25, 34</t>
  </si>
  <si>
    <t>20, 21, 33, 42, 53</t>
  </si>
  <si>
    <t>17.10.2016.
1 godina
5.7.1.-15/86-95, 98, 100, 103, 104</t>
  </si>
  <si>
    <t>28.10.2016.
1 godina
2.1.1.-16/788-1</t>
  </si>
  <si>
    <t>Ugovor za jednogodišnju nabavu rezervnih dijelova na aparatima za hemodijalizu i CDS sustavu gr I</t>
  </si>
  <si>
    <t>1.4.1.B.3</t>
  </si>
  <si>
    <t>11.11.2017.</t>
  </si>
  <si>
    <t>08.11.2016.
2.1.1.-16/1126-1</t>
  </si>
  <si>
    <t>24.10.2016.
2.1.1.-16/1059-1</t>
  </si>
  <si>
    <t>Ugovor za jednogodišnju nabavu medicinskog potrošnog materijala za potrebe otorinolaringologije gr. 5</t>
  </si>
  <si>
    <t>1.1.2.A.24</t>
  </si>
  <si>
    <t>2016/S 002-0014091</t>
  </si>
  <si>
    <t>07.11.2016.
2.1.1.-16/1179-1
(1 godina)</t>
  </si>
  <si>
    <t>28.11.2016.
2.1.1.-16/1198-1
(1 godina)</t>
  </si>
  <si>
    <t>Ugovor za jednogodišnju nabavu medicinskog potrošnog materijala za potrebe otorinolaringologije gr. 6</t>
  </si>
  <si>
    <t>07.11.2016.
2.1.1.-16/1180-1
(1 godina)</t>
  </si>
  <si>
    <t>UGOVOR ZA JEDNOGODIŠNJU NABAVU UGRADBENOG I POTROŠNOG MATERIJALA ZA PLASTIČNU KIRURGIJU GR 6</t>
  </si>
  <si>
    <t>27.10.2016
2.1.1.-16/1119-1
(1 godina)</t>
  </si>
  <si>
    <t xml:space="preserve">Ugovor za nabavu procesora za obradu tkiva </t>
  </si>
  <si>
    <t>5.1.A.5/6.3</t>
  </si>
  <si>
    <t>2016/S 002-0018172</t>
  </si>
  <si>
    <t xml:space="preserve">08.11.2016.
2.1.1.-16/1130-1
</t>
  </si>
  <si>
    <t>Ugovor za nabavu zavojnog materijala - 1 gr 2, 3, 5, 6</t>
  </si>
  <si>
    <t>2016/S 002-0017532</t>
  </si>
  <si>
    <t>08.11.2016.
2.1.1.-16/1128-1
(1 godina)</t>
  </si>
  <si>
    <t>08.11.2017.</t>
  </si>
  <si>
    <t>Ugovor za jednogodišnju nabavu višekratnog potrošnog materijala za potrebe otorinolaringologije gr. 1, 2, 3, 4, 5</t>
  </si>
  <si>
    <t>1.1.2.B.11</t>
  </si>
  <si>
    <t>11.11.2016.
2.1.1.-16/1124-1
(1 godina)</t>
  </si>
  <si>
    <t>7.11.2017.</t>
  </si>
  <si>
    <t>Ugovor za nabavu uređaja za zamrzavanje matičnih stanica s bocom za tekući dušik za potrebe Hrvatske banke tkiva i stanica</t>
  </si>
  <si>
    <t>5.1.A.5/6.1</t>
  </si>
  <si>
    <t>2016/S 002-0020230</t>
  </si>
  <si>
    <t xml:space="preserve">31.10.2016.
2.1.1.-16/1163-1
</t>
  </si>
  <si>
    <t>01.12.2016.</t>
  </si>
  <si>
    <t>84, 85, 93, 98, 100, 102, 104, 111, 112, 115</t>
  </si>
  <si>
    <t>20.10.2016.
1 godina
2.1.1.-16/797-1</t>
  </si>
  <si>
    <t>13.10.2016.
1 godina
2.1.1.-16/796-1</t>
  </si>
  <si>
    <t>13.10.2016.
1 godina
2.1.1.-16/798-1</t>
  </si>
  <si>
    <t>25.10.2016.
1 godina
2.1.1.-16/799-1</t>
  </si>
  <si>
    <t>Ugovor za jednogodišnju nabavu medicinskog potrošnog materijala za potrebe otorinolaringologije gr. 3</t>
  </si>
  <si>
    <t>07.11.2016.
2.1.1.-16/1160-1
(1 godina)</t>
  </si>
  <si>
    <t>07.11.2017.</t>
  </si>
  <si>
    <t>Ugovor za jednogodišnju nabavu medicinskog potrošnog materijala za potrebe otorinolaringologije gr. 9</t>
  </si>
  <si>
    <t>07.11.2016.
2.1.1.-16/1182-1
(1 godina)</t>
  </si>
  <si>
    <t>Ugovor za jednogodišnju nabavu medicinskog potrošnog materijala za potrebe endoskopske kirurgije gr 43</t>
  </si>
  <si>
    <t>08.11.2016.
2.1.1.-16/1187-1
(1 godina)</t>
  </si>
  <si>
    <t>Ugovor za nabavu kirurških implantata za potrebe plastične kirurgije gr Ib i II</t>
  </si>
  <si>
    <t>2016/S 002-0007074</t>
  </si>
  <si>
    <t>10.11.2016.
2.1.1.-16/1196-1
(1 godina)</t>
  </si>
  <si>
    <t>15.02.2017.</t>
  </si>
  <si>
    <t>126, 127, 128, 132, 144, 148, 155, 157, 165</t>
  </si>
  <si>
    <t>17.10.2016.
1 godina
2.1.1.-16/870-1</t>
  </si>
  <si>
    <t>131, 134, 151, 160, 161</t>
  </si>
  <si>
    <t>20.10.2016.
1 godina
2.1.1.-16/868-1</t>
  </si>
  <si>
    <t>13.10.2016.
1 godina
2.1.1.-16/873-1</t>
  </si>
  <si>
    <t>13.10.2016.
1 godina
2.1.1.-16/871-1</t>
  </si>
  <si>
    <t>149, 153, 163, 164</t>
  </si>
  <si>
    <t>07.11.2016.
2.1.1.-16/1239-1
(1 godina)</t>
  </si>
  <si>
    <t>Ugovor za jednogodišnju nabavu medicinskog potrošnog materijala za potrebe endoskopske kirurgije gr 54 A</t>
  </si>
  <si>
    <t>08.11.2016.
2.1.1.-16/1188-1
(1 godina)</t>
  </si>
  <si>
    <t>Ugovor za nabavu kirurških implantata za potrebe plastične kirurgije gr I i Ia</t>
  </si>
  <si>
    <t>10.11.2016.
2.1.1.-16/1195-1
(1 godina)</t>
  </si>
  <si>
    <t>Ugovor za jednogodišnju nabavu medicinskog potrošnog materijala za potrebe otorinolaringologije gr. 8</t>
  </si>
  <si>
    <t>07.11.2016.
2.1.1.-16/1181-1
(1 godina)</t>
  </si>
  <si>
    <t>Ugovor za nabavu medicinskog potrošnog materijala za potrebe neurologije gr 4, 11, 14</t>
  </si>
  <si>
    <t>2016/S 002-0010133</t>
  </si>
  <si>
    <t>10.11.2016.
2.1.1.-16/1193-1
(1 godina)</t>
  </si>
  <si>
    <t>25.04.2017.</t>
  </si>
  <si>
    <t>130, 131, 134, 150, 151, 160, 161, 162, 166</t>
  </si>
  <si>
    <t>21.10.2016.
1 godina
5.7.1.-16/6-9, 10, 13, 29, 30, 39, 40, 41, 45</t>
  </si>
  <si>
    <t>Ugovor za nabavu radiokromskih dozimetrijskih filmova za kontrolu kvalitete</t>
  </si>
  <si>
    <t>1.1.2.B.38</t>
  </si>
  <si>
    <t>10.11.2016.
2.1.1.-16/1203-1
(1 godina)</t>
  </si>
  <si>
    <t>Ugovor za nabavu zavojnog materijala - 1 gr 1</t>
  </si>
  <si>
    <t>08.11.2016.
2.1.1.-16/1129-1
(1 godina)</t>
  </si>
  <si>
    <t>UGOVOR ZA NABAVU UGRADBENOG I POTROŠNOG MATERIJALA ZA NEUROKIRURGIJU - I-3 GR. 81</t>
  </si>
  <si>
    <t>08.11.2016
2.1.1.-16/1205-2
(1 godina)</t>
  </si>
  <si>
    <t>07.11.2016
2.1.1.-16/1205-1
(1 godina)</t>
  </si>
  <si>
    <t>OKVIRNI SPORAZUM ZA NABAVU UGRADBENOG I POTROŠNOG MATERIJALA ZA NEUROKIRURGIJU - I-3 GR 81</t>
  </si>
  <si>
    <t>Ugovor za jednogodišnju nabavu medicinskog potrošnog materijala za potrebe patologije - I gr 17</t>
  </si>
  <si>
    <t>24.10.2016.
2.1.1.-16/1105-1
(1 godina)</t>
  </si>
  <si>
    <t>Ugovor za nabavu medicinskog potrošnog materijala za potrebe endoskopske kirurgije gr 26, 33, 45, 50</t>
  </si>
  <si>
    <t>08.11.2016.
2.1.1.-16/1185-1
(1 godina)</t>
  </si>
  <si>
    <t>Ugovor za nabavu medicinskog potrošnog materijala za potrebe endoskopske kirurgije gr 36, 39, 68</t>
  </si>
  <si>
    <t>08.11.2016.
2.1.1.-16/1186-1
(1 godina)</t>
  </si>
  <si>
    <t>Ugovor za nabavu medicinskog potrošnog materijala za potrebe neurologije gr 5, 7, 8</t>
  </si>
  <si>
    <t>Ugovor za nabavu medicinskog potrošnog materijala za potrebe neurologije gr 1, 2, 3, 6, 9, 10, 12</t>
  </si>
  <si>
    <t xml:space="preserve">10.11.2016.
2.1.1.-16/1194-1
</t>
  </si>
  <si>
    <t xml:space="preserve">10.11.2016.
2.1.1.-16/1192-1
</t>
  </si>
  <si>
    <t>UGOVOR ZA NABAVU LIJEKOVA - VIII</t>
  </si>
  <si>
    <t>14.11.2016.
6 mjeseca
2.1.1.-16/1206-1</t>
  </si>
  <si>
    <t>Ugovor za nabavu seta za dječju traumatologiju i instrumentarij za uvođenje i odstanjenje ESIN žica</t>
  </si>
  <si>
    <t>5.1.B5/6.51</t>
  </si>
  <si>
    <t xml:space="preserve">10.11.2016.
2.1.1.-16/1204-1
</t>
  </si>
  <si>
    <t>UGOVOR O PRUŽANJU POŠTANSKIH USLUGA GR 1</t>
  </si>
  <si>
    <t>HP-Hrvatska pošta d.d.</t>
  </si>
  <si>
    <t>15.11.2016
5.7.2.-16/65-4
(1 godina)</t>
  </si>
  <si>
    <t>Ugovor za jednogodišnju nabavu medicinskog potrošnog materijala za potrebe otorinolaringologije gr. 1</t>
  </si>
  <si>
    <t>07.11.2016.
2.1.1.-16/1158-1
(1 godina)</t>
  </si>
  <si>
    <t>Ugovor za nabavu medicinskog potrošnog materijala za potrebe endoskopske kirurgije gr 75</t>
  </si>
  <si>
    <t xml:space="preserve">08.11.2016.
2.1.1.-16/1190-1
</t>
  </si>
  <si>
    <t>Ugovor za jednogodišnju nabavu višekratnog potrošnog materijala za potrebe otorinolaringologije gr. 7</t>
  </si>
  <si>
    <t>07.11.2016.
2.1.1.-16/1201-1
(1 godina)</t>
  </si>
  <si>
    <t>Ugovor za jednogodišnju nabavu višekratnog potrošnog materijala za potrebe otorinolaringologije gr. 8, 9</t>
  </si>
  <si>
    <t>07.11.2016.
2.1.1.-16/1202-1
(1 godina)</t>
  </si>
  <si>
    <t>Ugovor za jednogodišnju nabavu višekratnog potrošnog materijala za potrebe otorinolaringologije gr. 6</t>
  </si>
  <si>
    <t>07.11.2016.
2.1.1.-16/1184-1
(1 godina)</t>
  </si>
  <si>
    <t>UGOVOR ZA JEDNOGODIŠNJU NABAVU PROIZVODA OD NETKANOG MATERIJALA - NESTERILNOG GR 2</t>
  </si>
  <si>
    <t>15.11.2016
011-02/15-01/45
(1 godina)</t>
  </si>
  <si>
    <t>CONTRACT ON SERVICE MAINTENANCE FOR THE LEKSELL GAMMA KNIFE MOD C</t>
  </si>
  <si>
    <t>ELEKTA GmbH</t>
  </si>
  <si>
    <t>07.11.2016.
2.1.1.-16/1161-1
(1 godina)</t>
  </si>
  <si>
    <t>2.2.2.A.51</t>
  </si>
  <si>
    <t>OKVIRNI SPORAZUM ZA JEDNOGODIŠNJU NABAVU LIJEKOVA IX</t>
  </si>
  <si>
    <t>10.11.2016.
1 GODINA
2.1.1.-16/1197-1</t>
  </si>
  <si>
    <t>Ugovor za jednogodišnju uslugu zbrinjavanja kemijskog i ostalog medicinskog otpada (osim infektivnog) - gr I</t>
  </si>
  <si>
    <t>2.4.A.4</t>
  </si>
  <si>
    <t>2016/S 002-0005837</t>
  </si>
  <si>
    <t>KEMIS-TERMOCLEAN</t>
  </si>
  <si>
    <t>01.11.2016.
2.1.1.-16/1164-1
(1 godina)</t>
  </si>
  <si>
    <t>01.11.2017.</t>
  </si>
  <si>
    <t>KLINIČKA BOLNICA DUBRAVA</t>
  </si>
  <si>
    <t>4, 10, 14, 16, 17, 35, 49, 54</t>
  </si>
  <si>
    <t>26.07.2016.
1 godina
4-147/16</t>
  </si>
  <si>
    <t xml:space="preserve">24, 52 </t>
  </si>
  <si>
    <t>26.07.2016.
1 godina
4-145/16</t>
  </si>
  <si>
    <t>20, 21, 33, 42, 44, 53</t>
  </si>
  <si>
    <t>08.11.</t>
  </si>
  <si>
    <t>08.11.2016.
1 godina
4-259/16</t>
  </si>
  <si>
    <t>6, 11, 38</t>
  </si>
  <si>
    <t>26.07.2016.
1 godina
4-146/16</t>
  </si>
  <si>
    <t>Ugovor za jednogodišnju uslugu najam, održavanja i korisničke potpore sustava PACS</t>
  </si>
  <si>
    <t>21.11.2016.
2.1.1.-16/1248-1
(1 godina)</t>
  </si>
  <si>
    <t>21.11.2017.</t>
  </si>
  <si>
    <t>Ugovor za nabavu radioloških radnih stanica</t>
  </si>
  <si>
    <t>5.1.A.5/6.7</t>
  </si>
  <si>
    <t>2016/S 002-0020479</t>
  </si>
  <si>
    <t xml:space="preserve">15.11.2016.
2.1.1.-16/1210-1
</t>
  </si>
  <si>
    <t>06.12.2016.</t>
  </si>
  <si>
    <t>29.08.2016.
1 godina
4-177/16</t>
  </si>
  <si>
    <t>10.09.</t>
  </si>
  <si>
    <t>10.09.2016.
1 godina
4-161/16</t>
  </si>
  <si>
    <t>25.10.2016.
1 godina
534-09-1-1/14-15-1</t>
  </si>
  <si>
    <t>24.10.2016.
1 godina
534-09-1-1/14-15-1</t>
  </si>
  <si>
    <t>28.10.2016.
1 godina
534-09-1-1/14-15-1</t>
  </si>
  <si>
    <t>92, 93, 98, 100, 102, 104, 105, 111, 112</t>
  </si>
  <si>
    <t>24.10.2016.
1 godina
011-02/15-01/45</t>
  </si>
  <si>
    <t>89, 95, 96, 97, 99, 101, 108, 116, 117, 118, 119, 121, 122, 123, 124</t>
  </si>
  <si>
    <t>25.10.2016.
1 godina
011-02/15-01/45</t>
  </si>
  <si>
    <t>27.09.2016.
1 godina
4-193/16</t>
  </si>
  <si>
    <t>389, 390, 395, 403</t>
  </si>
  <si>
    <t>27.09.2016.
1 godina
4-194/16</t>
  </si>
  <si>
    <t>27.09.2016.
1 godina
4-197/16</t>
  </si>
  <si>
    <t>PHOENIX PHARMACIJA d.o.o.</t>
  </si>
  <si>
    <t>382, 383, 385, 387, 388, 392, 400, 406, 424</t>
  </si>
  <si>
    <t>27.09.2016.
1 godina
4-203/16</t>
  </si>
  <si>
    <t>15.11.</t>
  </si>
  <si>
    <t>UGRADBENI I POTROŠNI MATERIJAL ZA NEUROKIRURGIJU - I - 1</t>
  </si>
  <si>
    <t>04.11.</t>
  </si>
  <si>
    <t>15.11.2016.
1 godina
2.1.1.-16/942-1</t>
  </si>
  <si>
    <t>04.11.2016.
1 godina
2.1.1.-16/942-1</t>
  </si>
  <si>
    <t>JOHNSON &amp; JOHNSON S. E. d.o.o.</t>
  </si>
  <si>
    <t>1, 5, 23, 28, 35</t>
  </si>
  <si>
    <t>15.11.2016.
1 godina
2.1.1.-16/940-1</t>
  </si>
  <si>
    <t>UGRADBENI I POTROŠNI MATERIJAL ZA NEUROKIRURGIJU - I - 2</t>
  </si>
  <si>
    <t>61, 62</t>
  </si>
  <si>
    <t>15.11.2016.
1 godina
2.1.1.-16/1023-1</t>
  </si>
  <si>
    <t>48, 66, 67, 70, 71</t>
  </si>
  <si>
    <t>4.11.</t>
  </si>
  <si>
    <t>4.11.2016.
1 godina
2.1.1.-16/1025-1</t>
  </si>
  <si>
    <t>4.11.2016.
1 godina
2.1.1.-16/1004-1</t>
  </si>
  <si>
    <t>15.11.2016.
1 godina
2.1.1.-16/1024-1</t>
  </si>
  <si>
    <t>04.11.2016.
1 godina
2.1.1.-16/943-1</t>
  </si>
  <si>
    <t>4.11.2016.
1 godina
2.1.1.-16/1026-1</t>
  </si>
  <si>
    <t>4.11.2016.
1 godina
2.1.1.-16/1027-1</t>
  </si>
  <si>
    <t>04.10.2016.
1 godina
4-219/16</t>
  </si>
  <si>
    <t>03.10.</t>
  </si>
  <si>
    <t>03.10.2016.
1 godina
4-212/16</t>
  </si>
  <si>
    <t>03.10.2016.
1 godina
4-215/16</t>
  </si>
  <si>
    <t>17.10.2016.
1 godina
4-227/16</t>
  </si>
  <si>
    <t>27.10.2016.
1 godina
4-238/16</t>
  </si>
  <si>
    <t>86, 89, 95, 96, 97, 99, 101, 106, 108, 117, 118, 119, 120, 121,122, 123, 124</t>
  </si>
  <si>
    <t>27.10.2016.
1 godina
4-237/16</t>
  </si>
  <si>
    <t>08.11.2016.
1 godina
4-261/16</t>
  </si>
  <si>
    <t>04.11.2016.
1 godina
4-253/16</t>
  </si>
  <si>
    <t>27.10.2016.
1 godina
4-235/16</t>
  </si>
  <si>
    <t>147, 158</t>
  </si>
  <si>
    <t>27.10.2016.
1 godina
4-239/16</t>
  </si>
  <si>
    <t>126, 127, 128, 132, 144, 145, 148, 155, 157, 165</t>
  </si>
  <si>
    <t>27.10.2016.
1 godina
4-236/16</t>
  </si>
  <si>
    <t>125, 149, 153, 164</t>
  </si>
  <si>
    <t>03.11.</t>
  </si>
  <si>
    <t>03.11.2016.
1 godina
4-242/16</t>
  </si>
  <si>
    <t>03.11.2016.
1 godina
4-240/16</t>
  </si>
  <si>
    <t>131, 134, 160, 161, 166</t>
  </si>
  <si>
    <t>04.11.2016.
1 godina
4-252/16</t>
  </si>
  <si>
    <t>30.08.</t>
  </si>
  <si>
    <t>30.08.2016.
1 godina
2.1.1.-16/795-1</t>
  </si>
  <si>
    <t>OKVIRNI SPORAZUM</t>
  </si>
  <si>
    <t>09.10.</t>
  </si>
  <si>
    <t>09.10.2016.
1 godina
4-217/16</t>
  </si>
  <si>
    <t>03.10.2016.
1 godina
4-213/16</t>
  </si>
  <si>
    <t>03.10.2016.
1 godina
4-216/16</t>
  </si>
  <si>
    <t>5, 8, 9, 10, 16, 20, 21, 22, 37, 38, 39</t>
  </si>
  <si>
    <t>17.10.2016.
1 godina
4-229/16</t>
  </si>
  <si>
    <t>15.11.2016.
1 godina
4-273/16</t>
  </si>
  <si>
    <t>171, 172, 173, 176, 187, 188, 192, 193, 194, 195, 197, 201, 204, 205</t>
  </si>
  <si>
    <t>15.11.2016.
1 godina
4-279/16</t>
  </si>
  <si>
    <t>191, 198</t>
  </si>
  <si>
    <t>03.11.2016.
1 godina
4-244/16</t>
  </si>
  <si>
    <t>04.11.2016.
1 godina
4-246/16</t>
  </si>
  <si>
    <t>167, 178, 179, 180, 181, 182, 184, 185, 186</t>
  </si>
  <si>
    <t>10.11.</t>
  </si>
  <si>
    <t>10.11.2016.
1 godina
4-268/16</t>
  </si>
  <si>
    <t>15.11.2016.
1 godina
4-272/16</t>
  </si>
  <si>
    <t>342, 343, 362, 363, 379</t>
  </si>
  <si>
    <t>04.11.2016.
1 godina
4-248/16</t>
  </si>
  <si>
    <t>03.11.2016.
1 godina
4-243/16</t>
  </si>
  <si>
    <t>04.11.2016.
1 godina
4-247/16</t>
  </si>
  <si>
    <t>339, 340, 356, 357, 358, 370, 371, 373, 374, 376, 377</t>
  </si>
  <si>
    <t>10.11.2016.
1 godina
4-267/16</t>
  </si>
  <si>
    <t>342, 343, 360, 361, 362, 366, 379</t>
  </si>
  <si>
    <t>31.10.</t>
  </si>
  <si>
    <t>31.10.2016.
1 godina
2.1.1.-16/986-1</t>
  </si>
  <si>
    <t>351, 354</t>
  </si>
  <si>
    <t>31.10.2016.
1 godina
2.1.1.-16/987-1</t>
  </si>
  <si>
    <t>339, 340, 356, 358, 359, 369, 371, 373, 374, 376</t>
  </si>
  <si>
    <t>31.10.2016.
1 godina
2.1.1.-16/995-1</t>
  </si>
  <si>
    <t>31.10.2016.
1 godina
2.1.1.-16/988-1</t>
  </si>
  <si>
    <t>31.10.2016.
1 godina
2.1.1.-16/989-1</t>
  </si>
  <si>
    <t>229, 233, 235, 236, 237, 240, 245</t>
  </si>
  <si>
    <t>31.10.2016.
1 godina
2.1.1.-16/1019-1</t>
  </si>
  <si>
    <t>227, 245, 250</t>
  </si>
  <si>
    <t>31.10.2016.
1 godina
2.1.1.-16/1021-1</t>
  </si>
  <si>
    <t>218, 221, 222, 223, 230, 231</t>
  </si>
  <si>
    <t>31.10.2016.
1 godina
2.1.1.-16/1020-1</t>
  </si>
  <si>
    <t>212, 214, 228, 232, 239, 241, 252</t>
  </si>
  <si>
    <t>31.10.2016.
1 godina
2.1.1.-16/1018-1</t>
  </si>
  <si>
    <t>ALPHA - MEDICAL d.o.o.</t>
  </si>
  <si>
    <t>31.10.2016.
1 godina
2.1.1.-16/1022-1</t>
  </si>
  <si>
    <t>262, 265</t>
  </si>
  <si>
    <t>31.10.2016.
1 godina
2.1.1.-16/998-1</t>
  </si>
  <si>
    <t>259, 261, 267, 283, 287, 289, 292</t>
  </si>
  <si>
    <t>31.10.2016.
1 godina
2.1.1.-16/1001-1</t>
  </si>
  <si>
    <t>268, 269, 270, 272, 273, 274, 275, 282, 291</t>
  </si>
  <si>
    <t>31.10.2016.
1 godina
2.1.1.-16/1000-1</t>
  </si>
  <si>
    <t>31.10.2016.
1 godina
2.1.1.-16/999-1</t>
  </si>
  <si>
    <t>254, 255, 281, 288</t>
  </si>
  <si>
    <t>31.10.2016.
1 godina
2.1.1.-16/997-1</t>
  </si>
  <si>
    <t>172, 173, 175, 187, 189, 192, 193, 194, 195, 197, 201, 204, 205</t>
  </si>
  <si>
    <t>31.10.2016.
1 godina
2.1.1.-16/1008-1</t>
  </si>
  <si>
    <t>167, 168, 178, 180, 181, 182, 184, 185, 186, 199</t>
  </si>
  <si>
    <t>31.10.2016.
1 godina
2.1.1.-16/1007-1</t>
  </si>
  <si>
    <t>191, 198, 206</t>
  </si>
  <si>
    <t>31.10.2016.
1 godina
2.1.1.-16/1009-1</t>
  </si>
  <si>
    <t>31.10.2016.
1 godina
2.1.1.-16/1011-1</t>
  </si>
  <si>
    <t>21.10.2016.
1 godina
2.1.1.-16/1012-1</t>
  </si>
  <si>
    <t>Ugovor za jednogodišnju nabavu medicinskog potrošnog materijala za potrebe invazivnog EEG monitoriranja gr I i II</t>
  </si>
  <si>
    <t>1.1.2.A.68</t>
  </si>
  <si>
    <t>2016/S 002-0016243</t>
  </si>
  <si>
    <t>14.11.2016.
2.1.1.-16/1209-1
(1 godina)</t>
  </si>
  <si>
    <t>14.11.2017.</t>
  </si>
  <si>
    <t>Ugovor za nabavu nadogradnje postojećih spremnika za pohranu tkiva, praćenja nivoa tekućeg dušika i temperature gr II</t>
  </si>
  <si>
    <t xml:space="preserve">08.11.2016.
2.1.1.-16/1200-1
</t>
  </si>
  <si>
    <t>30.12.2017.</t>
  </si>
  <si>
    <t>227, 242</t>
  </si>
  <si>
    <t>31.10.2016.
1 godina
5.7.1.-16/8-18, 33</t>
  </si>
  <si>
    <t>213, 215, 235, 236, 237, 240</t>
  </si>
  <si>
    <t>31.10.2016.
1 godina
5.7.1.-16/8-7, 9, 26, 27, 28, 31</t>
  </si>
  <si>
    <t>210, 220</t>
  </si>
  <si>
    <t>31.10.2016.
1 godina
5.7.1.-16/8-4, 13</t>
  </si>
  <si>
    <t>28.10.2016.
1 godina
5.7.1.-16/7-40</t>
  </si>
  <si>
    <t>191, 198, 206, 207</t>
  </si>
  <si>
    <t>28.10.2016.
1 godina
5.7.1.-16/7-28, 35, 43, 44</t>
  </si>
  <si>
    <t>28.10.2016.
1 godina
5.7.1.-16/7-45</t>
  </si>
  <si>
    <t>172, 173, 175, 176, 187, 188, 189, 192, 193, 194, 195, 197, 201, 202, 204, 205, 209</t>
  </si>
  <si>
    <t>27.10.2016.
1 godina
5.7.1.-16/7-9, 10, 12, 13, 24, 25, 26, 29, 30, 31, 32, 34, 38, 39, 41, 42, 46</t>
  </si>
  <si>
    <t>Ugovor za nabavu uređaja za pranje crnog posuđa</t>
  </si>
  <si>
    <t>5.1.B5/6.66</t>
  </si>
  <si>
    <t>INSTALACIJA PROMET d.o.o.</t>
  </si>
  <si>
    <t xml:space="preserve">15.11.2016.
2.1.1.-16/1238-1
</t>
  </si>
  <si>
    <t>31.12.2016.</t>
  </si>
  <si>
    <t>UGOVOR ZA JEDNOGODIŠNJU NABAVU PROIZVODA OD NETKANOG MATERIJALA - NESTERILNOG GR 3 i 4</t>
  </si>
  <si>
    <t>01.11.</t>
  </si>
  <si>
    <t>01.11.2016.
1 godina
011-02/15-01/45</t>
  </si>
  <si>
    <t>27.10.2016.
1 godina
27/2016</t>
  </si>
  <si>
    <t>ANEKS - okvirni 15</t>
  </si>
  <si>
    <t>Specijalna bolnica za medicinsku rehabilitaciju Varaždinske Toplice</t>
  </si>
  <si>
    <t>132, 148, 155, 157, 165</t>
  </si>
  <si>
    <t>14.11.</t>
  </si>
  <si>
    <t>14.11.2016.
1 godina
2.1.1.-16/870-1</t>
  </si>
  <si>
    <t>07.11.</t>
  </si>
  <si>
    <t>07.11.2016.
1 godina
2.1.1.-16/940-1</t>
  </si>
  <si>
    <t>07.11.2016.
1 godina
2.1.1.-16/941-1</t>
  </si>
  <si>
    <t>07.11.2016.
1 godina
2.1.1.-16/943-1</t>
  </si>
  <si>
    <t>07.11.2016.
1 godina
2.1.1.-16/942-1</t>
  </si>
  <si>
    <t>07.11.2016.
1 godina
2.1.1.-16/1024-1</t>
  </si>
  <si>
    <t>07.11.2016.
1 godina
2.1.1.-16/1026-1</t>
  </si>
  <si>
    <t>07.11.2016.
1 godina
2.1.1.-16/1023-1</t>
  </si>
  <si>
    <t>07.11.2016.
1 godina
2.1.1.-16/1003-1</t>
  </si>
  <si>
    <t>14.11.2016.
1 godina
2.1.1.-16/1096-1</t>
  </si>
  <si>
    <t>14.11.2016.
1 godina
2.1.1.-16/1097-1</t>
  </si>
  <si>
    <t>34, 50, 51, 61, 81, 399, 410, 411, 412, 422, 90</t>
  </si>
  <si>
    <t>01.11.2016.
1 godina
2.1.1.-16/784/787/791/798/871-1</t>
  </si>
  <si>
    <t>1, 40, 41, 55, 56, 57, 69, 70, 71, 72, 73, 74, 89, 95, 96, 97, 99, 101, 108, 117, 118, 119, 120, 121, 122</t>
  </si>
  <si>
    <t>01.11.2016.
1 godina
2.1.1.-16/785/794/796/870/783-1</t>
  </si>
  <si>
    <t>5, 8, 13, 14, 15, 18, 20, 21, 22, 37, 38, 43, 400, 401, 406, 408, 409, 418, 419, 420, 421, 424, 426, 92, 98, 100, 162</t>
  </si>
  <si>
    <t>01.11.2016.
1 godina
2.1.1.-16/781/790/793/868/797-1</t>
  </si>
  <si>
    <t>3, 4, 31, 45, 386, 417, 407, 125, 153, 164</t>
  </si>
  <si>
    <t>01.11.2016.
1 godina
2.1.1.-16/782/788/792/869-1</t>
  </si>
  <si>
    <t>Ugovor za nabavu vatrozida nove generacije</t>
  </si>
  <si>
    <t>5.1.B5/6.47</t>
  </si>
  <si>
    <t xml:space="preserve">15.11.2016.
2.1.1.-16/1207-1
</t>
  </si>
  <si>
    <t>15.01.2017.</t>
  </si>
  <si>
    <t>OKVIRNI SPORAZUM ZA JEDNOGODIŠNJU NABAVU LIJEKOVA XV</t>
  </si>
  <si>
    <t>15.11.2016.
1 GODINA
2.1.1.-16/1240-4</t>
  </si>
  <si>
    <t>15.11.2017.</t>
  </si>
  <si>
    <t>Ugovor za nabavu usluge stručnog nadzora nad ugradnjom elektroenergetskog postrojenja i klima komora za potrebe Klinike za ženske bolesti i porode</t>
  </si>
  <si>
    <t>5.1.B5/6.75</t>
  </si>
  <si>
    <t>31.10.2016.
2.1.1.-16/1122-1
(1 godina)</t>
  </si>
  <si>
    <t>Ugovor za jednogodišnju nabavu medicinskog potrošnog materijala za potrebe otorinolaringologije gr 2</t>
  </si>
  <si>
    <t>07.11.2016.
2.1.1.-16/1159-1
(1 godina)</t>
  </si>
  <si>
    <t>Ugovor za nabavu endoskopskog, ultrazvučnog video sistema za bronhoskopiju (EBUS)</t>
  </si>
  <si>
    <t>5.1.A/4.4.</t>
  </si>
  <si>
    <t>2016/S 002-0018793</t>
  </si>
  <si>
    <t xml:space="preserve">18.11.2016.
2.1.1.-16/1237-1
</t>
  </si>
  <si>
    <t>19.12.2016.</t>
  </si>
  <si>
    <t>Ugovor za jednogodišnju nabavu rezervnih dijelova na aparatima za hemodijalizu i CDS sustavu gr III</t>
  </si>
  <si>
    <t>FRESENIUS MEDICAL CARE HRVATSKA d.o.o.</t>
  </si>
  <si>
    <t>11.11.2016.
2.1.1.-16/1126-1
(1 godina)</t>
  </si>
  <si>
    <t>Ugovor za jednogodišnju nabavu rezervnih dijelova na aparatima za hemodijalizu i CDS sustavu gr II</t>
  </si>
  <si>
    <t>11.11.2016.
2.1.1.-16/1125-1
(1 godina)</t>
  </si>
  <si>
    <t>01.11.2016.
1 godina
2.1.1.-16/786/795/872-1</t>
  </si>
  <si>
    <t>32, 33, 67, 142, 143</t>
  </si>
  <si>
    <t>01.11.2016.
1 godina
2.1.1.-16/783-1</t>
  </si>
  <si>
    <t>33, 37</t>
  </si>
  <si>
    <t>07.11.2016.
1 godina
5.7.1.-15/75-36, 41</t>
  </si>
  <si>
    <t>07.11.2016.
1 godina
5.7.1.-15/75-44</t>
  </si>
  <si>
    <t>07.11.2016.
1 godina
5.7.1.-15/75-29</t>
  </si>
  <si>
    <t>UGRADBENI I POTROŠNI MATERIJAL ZA NEUROKIRURGIJU - II</t>
  </si>
  <si>
    <t>4.11.2016.
1 godina
5.7.1.-15/78-6</t>
  </si>
  <si>
    <t>15.11.2016.
1 godine
2.1.1.-16/1240-3</t>
  </si>
  <si>
    <t>OKVIRNI SPORAZUM ZA JEDNOGODIŠNJU NABAVU LIJEKOVA XI - GR. 2</t>
  </si>
  <si>
    <t>21.11.2016.
1 godine
2.1.1.-16/1243-1</t>
  </si>
  <si>
    <t>Ugovor za nabavu čela za bolesničke postelje proizvođača LINET</t>
  </si>
  <si>
    <t>5.1.B5/6.73</t>
  </si>
  <si>
    <t xml:space="preserve">15.11.2016.
2.1.1.-16/1208-1
</t>
  </si>
  <si>
    <t>16.12.2016.</t>
  </si>
  <si>
    <t>Ugovor za jednogodišnju nabavu potrošnog materijala za uređaj za terapijsku hipotermiju</t>
  </si>
  <si>
    <t>1.1.2.A.179</t>
  </si>
  <si>
    <t>2016/S 002-0020417</t>
  </si>
  <si>
    <t>21.11.2016.
2.1.1.-16/1241-1
(1 godina)</t>
  </si>
  <si>
    <t>21.11.2016.
1 godine
2.1.1.-16/1243-2</t>
  </si>
  <si>
    <t>OKVIRNI SPORAZUM ZA JEDNOGODIŠNJU NABAVU LIJEKOVA XI - GR. 1</t>
  </si>
  <si>
    <t>21.11.2016.
1 godine
2.1.1.-16/1242-1</t>
  </si>
  <si>
    <t>Ugovor za nabavu reagensa i testova za potrebe dermatologije gr I</t>
  </si>
  <si>
    <t>2016/S 002-0016182</t>
  </si>
  <si>
    <t>23.11.2016.
2.1.1.-16/1251-1
(6 mjeseci)</t>
  </si>
  <si>
    <t>Ugovor za nabavu reagensa i testova za potrebe dermatologije gr VIII</t>
  </si>
  <si>
    <t>23.11.2016.
2.1.1.-16/1253-1
(6 mjeseci)</t>
  </si>
  <si>
    <t>Ugovor za nabavu elektrokonvulzatora</t>
  </si>
  <si>
    <t>5.1.A.5./4.1</t>
  </si>
  <si>
    <t>2016/S 002-0021598</t>
  </si>
  <si>
    <t xml:space="preserve">21.11.2016.
2.1.1.-16/1249-1
</t>
  </si>
  <si>
    <t>21.12.2016.</t>
  </si>
  <si>
    <t>ANEKS UGOVORA O JAVNOJ NABAVI ROBE UGRADBENI I POTROŠNI MATERIJAL ZA INVAZIVNU I INTERVENCIJSKU RADIOLOGIJU GR. XV</t>
  </si>
  <si>
    <t>15.11.2016
2.1.1.-16/769-2
(1 godina)</t>
  </si>
  <si>
    <t>15.11.2016.
1 godine
2.1.1.-16/1240-2</t>
  </si>
  <si>
    <t>Ugovor za nabavu reagensa i testova za potrebe dermatologije gr II i VI</t>
  </si>
  <si>
    <t>KEMOLAB d.o.o.</t>
  </si>
  <si>
    <t>23.11.2016.
2.1.1.-16/1252-1
(6 mjeseci)</t>
  </si>
  <si>
    <t>Ugovor za jednogodišnju uslugu servisnog održavanja medicinske opreme i uređaja proizvođača Drager Medical</t>
  </si>
  <si>
    <t>2.2.2.A.15</t>
  </si>
  <si>
    <t>2016/S 002-0015567</t>
  </si>
  <si>
    <t>23.11.2016.
2.1.1.-16/1257-1
(1 GODINA)</t>
  </si>
  <si>
    <t>23.11.2017.</t>
  </si>
  <si>
    <t>Ugovor za nabavu medicinskog potrošnog materijala za bolničku uporabu gr 1, 2, 7, 8, 9, 10, 11, 12, 13, 18, 19, 20</t>
  </si>
  <si>
    <t>1.1.2.A.11</t>
  </si>
  <si>
    <t>2016/S 002-0007206</t>
  </si>
  <si>
    <t>28.11.2016.
2.1.1.-16/1263-1
(1 GODINA)</t>
  </si>
  <si>
    <t>Ugovor za jednogodišnju nabavu tehničkog potrošnog materijala gr I i VI</t>
  </si>
  <si>
    <t>2016/S 002-0021358</t>
  </si>
  <si>
    <t>VODOSKOK d.d.</t>
  </si>
  <si>
    <t>23.11.2016.
2.1.1.-16/1254-1
(1 GODINA)</t>
  </si>
  <si>
    <t>Ugovor za jednogodišnju nabavu tehničkog potrošnog materijala gr II, III i VII</t>
  </si>
  <si>
    <t>SMIT-COMMERCE d.o.o.</t>
  </si>
  <si>
    <t>23.11.2016.
2.1.1.-16/1255-1
(1 GODINA)</t>
  </si>
  <si>
    <t>Ugovor za jednogodišnju nabavu rezervnih dijelova i pribora za računala gr 1, 2, 3</t>
  </si>
  <si>
    <t>1.4.1.B.39</t>
  </si>
  <si>
    <t>28.11.2016.
2.1.1.-16/1291-1
(1 godina)</t>
  </si>
  <si>
    <t>Ugovor za nabavu medicinskog potrošnog materijala za potrebe kirurgije gr 10, 21, 23, 25, 26, 30, 34, 35</t>
  </si>
  <si>
    <t>2016/S 002-0011375</t>
  </si>
  <si>
    <t>28.11.2016.
2.1.1.-16/1272-1
(1 GODINA)</t>
  </si>
  <si>
    <t>Ugovor za nabavu medicinskog potrošnog materijala za bolničku uporabu gr 23</t>
  </si>
  <si>
    <t>28.11.2016.
2.1.1.-16/1269-1
(1 GODINA)</t>
  </si>
  <si>
    <t>UGOVOR ZA JEDNOGODIŠNJU NABAVU MEDICINSKOG MATERIJALA ZA POTREBE INTERVENCIJSKE NEURORADIOLOGIJE GR. IX</t>
  </si>
  <si>
    <t>28.11.2016
2.1.1.-16/1287-1
(1 godina)</t>
  </si>
  <si>
    <t>Ugovor za nabavu medicinskog potrošnog materijala za potrebe kirurgije gr 18, 19</t>
  </si>
  <si>
    <t>28.11.2016.
2.1.1.-16/1280-1
(1 GODINA)</t>
  </si>
  <si>
    <t>15.11.2016.
1 godine
2.1.1.-16/1240-1</t>
  </si>
  <si>
    <t>Ugovor za nabavu medicinskog potrošnog materijala za bolničku uporabu gr 21</t>
  </si>
  <si>
    <t>28.11.2016.
2.1.1.-16/1267-1
(1 GODINA)</t>
  </si>
  <si>
    <t>Ugovor za nabavu medicinskog potrošnog materijala za potrebe kirurgije gr 1</t>
  </si>
  <si>
    <t>28.11.2016.
2.1.1.-16/1279-1
(1 GODINA)</t>
  </si>
  <si>
    <t>Ugovor za nabavu medicinskog potrošnog materijala za potrebe kirurgije gr 2</t>
  </si>
  <si>
    <t>STOMA MEDICAL d.o.o.</t>
  </si>
  <si>
    <t>28.11.2016.
2.1.1.-16/1275-1
(1 GODINA)</t>
  </si>
  <si>
    <t>Ugovor za nabavu medicinskog potrošnog materijala za potrebe kirurgije gr 13, 14, 15, 22, 24</t>
  </si>
  <si>
    <t>28.11.2016.
2.1.1.-16/1282-1
(1 GODINA)</t>
  </si>
  <si>
    <t>Ugovor za nabavu oksigenatora za potrebe kardijalne kirurgije gr IV i Iva</t>
  </si>
  <si>
    <t>2016/S 002-0020380</t>
  </si>
  <si>
    <t xml:space="preserve">23.11.2016.
2.1.1.-16/1256-1
</t>
  </si>
  <si>
    <t>01.08.2017.</t>
  </si>
  <si>
    <t>Ugovor za jednogodišnju nabavu kemikalija za potrebe laboratorija gr. 6</t>
  </si>
  <si>
    <t>1.1.2.A.61</t>
  </si>
  <si>
    <t>2016/S 002-0007405</t>
  </si>
  <si>
    <t>01.12.2016.
2.1.1.-16/1299-1
(1 GODINA)</t>
  </si>
  <si>
    <t>01.12.2017.</t>
  </si>
  <si>
    <t>Ugovor za nabavu medicinskog potrošnog materijala za potrebe kirurgije gr 33</t>
  </si>
  <si>
    <t>28.11.2016.
2.1.1.-16/1277-1
(1 GODINA)</t>
  </si>
  <si>
    <t>Ugovor za nabavu medicinske i nemedicinske opreme za potrebe Hrvatske banke tkiva i stanica gr. 3</t>
  </si>
  <si>
    <t>5.1.A.5/4.7</t>
  </si>
  <si>
    <t>2016/S 002-0022271</t>
  </si>
  <si>
    <t>28.12.2016.</t>
  </si>
  <si>
    <t>Ugovor za nabavu medicinske i nemedicinske opreme za potrebe Hrvatske banke tkiva i stanica gr. 2</t>
  </si>
  <si>
    <t>Ugovor za nabavu medicinske i nemedicinske opreme za potrebe Hrvatske banke tkiva i stanica gr. 5</t>
  </si>
  <si>
    <t>Ugovor za nabavu medicinske i nemedicinske opreme za potrebe Hrvatske banke tkiva i stanica gr. 6</t>
  </si>
  <si>
    <t>10.01.2017.</t>
  </si>
  <si>
    <t>Ugovor za nabavu medicinske i nemedicinske opreme za potrebe Hrvatske banke tkiva i stanica gr. 7</t>
  </si>
  <si>
    <t xml:space="preserve">28.11.2016.
2.1.1.-16/1314-1
</t>
  </si>
  <si>
    <t xml:space="preserve">28.11.2016.
2.1.1.-16/1289-1
</t>
  </si>
  <si>
    <t xml:space="preserve">28.11.2016.
2.1.1.-16/1288-1
</t>
  </si>
  <si>
    <t xml:space="preserve">28.11.2016.
2.1.1.-16/1285-1
</t>
  </si>
  <si>
    <t xml:space="preserve">28.11.2016.
2.1.1.-16/1286-1
</t>
  </si>
  <si>
    <t>Ugovor za nabavu medicinske i nemedicinske opreme za potrebe Hrvatske banke tkiva i stanica gr. 8</t>
  </si>
  <si>
    <t xml:space="preserve">28.11.2016.
2.1.1.-16/1315-1
</t>
  </si>
  <si>
    <t>Ugovor za jednogodišnju nabavu uredskog potrošnog materijala i tiskanica gr. II</t>
  </si>
  <si>
    <t>1.2.1/2.A.2</t>
  </si>
  <si>
    <t>2016/S 002-0019875</t>
  </si>
  <si>
    <t>URIHO - Ustanova za profesionalnu rehabilitaciju i zapošljavanje osoba s invaliditetom</t>
  </si>
  <si>
    <t>01.12.2016.
2.1.1.-16/1296-1
(1 GODINA)</t>
  </si>
  <si>
    <t>Ugovor za nabavu medicinskog potrošnog materijala za potrebe kirurgije gr. 6, 20, 27, 28, 29, 31</t>
  </si>
  <si>
    <t>28.11.2016.
2.1.1.-16/1270-1
(1 GODINA)</t>
  </si>
  <si>
    <t>OKVIRNI SPORAZUM ZA JEDNOGODIŠNJU NABAVU LIJEKOVA XVII</t>
  </si>
  <si>
    <t>05.12.2017.</t>
  </si>
  <si>
    <t>05.12.2016.
1 godine
2.1.1.-16/1308-1</t>
  </si>
  <si>
    <t>UGOVOR PO OKVIRNOM SPORAZUMU ZA NABAVU LIJEKOVA - GENERIČKE PARALELE XIV GR 2</t>
  </si>
  <si>
    <t>05.12.2016.
4 mjeseca
2.1.1.-16/1317-1</t>
  </si>
  <si>
    <t>4.4.2017.</t>
  </si>
  <si>
    <t>1.1.2.A.14</t>
  </si>
  <si>
    <t>Ugovor za nabavu medicinske i nemedicinske opreme za potrebe Hrvatske banke tkiva i stanica gr. 1</t>
  </si>
  <si>
    <t xml:space="preserve">28.11.2016.
2.1.1.-16/1283-1
</t>
  </si>
  <si>
    <t>Ugovor za nabavu medicinske i nemedicinske opreme za potrebe Hrvatske banke tkiva i stanica gr. 4</t>
  </si>
  <si>
    <t>Ugovor za nabavu medicinskog potrošnog materijala za bolničku uporabu gr 4</t>
  </si>
  <si>
    <t>28.11.2016.
2.1.1.-16/1264-1
(1 GODINA)</t>
  </si>
  <si>
    <t>Ugovor za nabavu medicinskog potrošnog materijala za potrebe kirurgije gr. 11</t>
  </si>
  <si>
    <t>28.11.2016.
2.1.1.-16/1281-1
(1 GODINA)</t>
  </si>
  <si>
    <t>Ugovor za nabavu medicinskog potrošnog materijala za potrebe kirurgije gr. 9</t>
  </si>
  <si>
    <t>28.11.2016.
2.1.1.-16/1278-1
(1 GODINA)</t>
  </si>
  <si>
    <t>Ugovor za jednogodišnju nabavu kemikalija za potrebe laboratorija gr. 2, 4, 5</t>
  </si>
  <si>
    <t>01.12.2016.
2.1.1.-16/1298-1
(1 GODINA)</t>
  </si>
  <si>
    <t>Ugovor za jednogodišnju nabavu višekratnog potrošnog materijala za medicinske uređaje proizvođača CARL STORZ GMBH &amp; CO.KG</t>
  </si>
  <si>
    <t>1.1.2.A.126</t>
  </si>
  <si>
    <t>2016/S 002-0021498</t>
  </si>
  <si>
    <t>05.12.2016.
2.1.1.-16/1307-1
(1 GODINA)</t>
  </si>
  <si>
    <t>Ugovor za jednogodišnju nabavu uredskog potrošnog materijala i tiskanica gr. I</t>
  </si>
  <si>
    <t>MAKROMIKRO GRUPA d.o.o.</t>
  </si>
  <si>
    <t>01.12.2016.
2.1.1.-16/1295-1
(1 GODINA)</t>
  </si>
  <si>
    <t>Ugovor o jednogodišnjoj usluzi servisnog održavanja višeslojnog CT uređaja Light Speed Ultra proizvođača GEHC</t>
  </si>
  <si>
    <t>2.2.2.A.44</t>
  </si>
  <si>
    <t>2016/S 002-0023660</t>
  </si>
  <si>
    <t>01.12.2016.
2.1.1.-16/1306-1
(1 GODINA)</t>
  </si>
  <si>
    <t>05.12.2016.
1 godine
2.1.1.-16/1308-3</t>
  </si>
  <si>
    <t>Ugovor za nabavu duodenoskopa</t>
  </si>
  <si>
    <t>5.1.B5/6.87</t>
  </si>
  <si>
    <t xml:space="preserve">01.12.2016.
2.1.1.-16/1302-1
</t>
  </si>
  <si>
    <t>Ugovor za nabavu kolonoskopa</t>
  </si>
  <si>
    <t>5.1.B5/6.86</t>
  </si>
  <si>
    <t xml:space="preserve">01.12.2016.
2.1.1.-16/1300-1
</t>
  </si>
  <si>
    <t>22.12.2016.</t>
  </si>
  <si>
    <t>Ugovor za nabavu gastroskopa</t>
  </si>
  <si>
    <t>5.1.B5/6.85</t>
  </si>
  <si>
    <t xml:space="preserve">01.12.2016.
2.1.1.-16/1301-1
</t>
  </si>
  <si>
    <t>Ugovor za nabavu medicinskog potrošnog materijala za bolničku uporabu gr 22</t>
  </si>
  <si>
    <t>28.11.2016.
2.1.1.-16/1268-1
(1 GODINA)</t>
  </si>
  <si>
    <t>UGOVOR ZA JEDNOGODIŠNJU NABAVU SREDSTAVA ZA ČIŠĆENJE I ODRŽAVANJE GR 1, 3, 5, 6, 14</t>
  </si>
  <si>
    <t>SAPONIA d.d.</t>
  </si>
  <si>
    <t>05.12.2016
2.1.1.-16/1304-1
(1 godina)</t>
  </si>
  <si>
    <t>UGOVOR ZA JEDNOGODIŠNJU NABAVU PROIZVODA OD NETKANOG MATERIJALA - NESTERILNOG GR 6</t>
  </si>
  <si>
    <t>25.11.2016
2.1.1.-16/1235-1
(1 godina)</t>
  </si>
  <si>
    <t>20.10.2016.
1 godina
2.1.1.-16/989-1</t>
  </si>
  <si>
    <t>20.10.2016.
1 godina
2.1.1.-16/988-1</t>
  </si>
  <si>
    <t>20.10.2016.
1 godina
2.1.1.-16/987-1</t>
  </si>
  <si>
    <t>342, 343, 360, 361, 362, 363, 364, 366, 379</t>
  </si>
  <si>
    <t>20.10.2016.
1 godina
2.1.1.-16/986-1</t>
  </si>
  <si>
    <t>339, 356, 368, 369, 370, 371, 373, 374, 376</t>
  </si>
  <si>
    <t>20.10.2016.
1 godina
2.1.1.-16/985-1</t>
  </si>
  <si>
    <t>254, 256, 277, 278, 281, 288</t>
  </si>
  <si>
    <t>25.10.2016.
1 godina
2.1.1.-16/997-1</t>
  </si>
  <si>
    <t>25.10.2016.
1 godina
2.1.1.-16/999-1</t>
  </si>
  <si>
    <t>25.10.2016.
1 godina
2.1.1.-16/1000-1</t>
  </si>
  <si>
    <t>25.10.2016.
1 godina
2.1.1.-16/1001-1</t>
  </si>
  <si>
    <t>25.10.2016.
1 godina
2.1.1.-16/998-1</t>
  </si>
  <si>
    <t>18.10.2016.
1 godina
2.1.1.-16/786-1</t>
  </si>
  <si>
    <t>18.10.2016.
1 godina
2.1.1.-16/790-1</t>
  </si>
  <si>
    <t>14.10.2016.
1 godina
2.1.1.-16/787-1</t>
  </si>
  <si>
    <t>14.10.2016.
1 godina
2.1.1.-16/785-1</t>
  </si>
  <si>
    <t>14.10.2016.
1 godina
2.1.1.-16/788-1</t>
  </si>
  <si>
    <t>5.10.</t>
  </si>
  <si>
    <t>05.10.2016.
1 godina
2.1.1.-16/795-1</t>
  </si>
  <si>
    <t>07.10.2016.
1 godina
2.1.1.-16/792-1</t>
  </si>
  <si>
    <t>1, 23, 41</t>
  </si>
  <si>
    <t>7.10.</t>
  </si>
  <si>
    <t>05.10.2016.
1 godina
2.1.1.-16/794-1</t>
  </si>
  <si>
    <t>05.10.2016.
1 godina
2.1.1.-16/791-1</t>
  </si>
  <si>
    <t>2, 5, 8, 9, 10, 11, 12, 16, 17, 19, 20, 21, 22, 37, 38</t>
  </si>
  <si>
    <t>05.10.2016.
1 godina
2.1.1.-16/793-1</t>
  </si>
  <si>
    <t>25.10.2016.
1 godina
2.1.1.-16/1022-1</t>
  </si>
  <si>
    <t>211, 212, 214, 216, 219, 228, 238, 239, 241, 243, 244, 251, 252</t>
  </si>
  <si>
    <t>25.10.2016.
1 godina
2.1.1.-16/1018-1</t>
  </si>
  <si>
    <t>218, 221, 222, 223, 231</t>
  </si>
  <si>
    <t>25.10.2016.
1 godina
2.1.1.-16/1020-1</t>
  </si>
  <si>
    <t>227, 242, 250</t>
  </si>
  <si>
    <t>25.10.2016.
1 godina
2.1.1.-16/1021-1</t>
  </si>
  <si>
    <t>213, 215, 224, 229, 233, 234, 235, 236, 237, 240, 245</t>
  </si>
  <si>
    <t>25.10.2016.
1 godina
2.1.1.-16/1019-1</t>
  </si>
  <si>
    <t>606-T-2016</t>
  </si>
  <si>
    <t>08.11.2016.
1 godina
2.1.1.-</t>
  </si>
  <si>
    <t>237, 240, 245</t>
  </si>
  <si>
    <t>22.11.</t>
  </si>
  <si>
    <t>22.11.2016.
1 godina
2.1.1.-</t>
  </si>
  <si>
    <t>221, 230, 231</t>
  </si>
  <si>
    <t>16.11.</t>
  </si>
  <si>
    <t>16.11.2016.
1 godina
2.1.1.-</t>
  </si>
  <si>
    <t>241, 244, 251</t>
  </si>
  <si>
    <t>230, 231</t>
  </si>
  <si>
    <t>25.11.2016.
1 godina
011-02/15-01/45</t>
  </si>
  <si>
    <t>242, 250</t>
  </si>
  <si>
    <t>251, 252</t>
  </si>
  <si>
    <t>21.10.2016.
1 godina
2.1.1.-16/1011-1</t>
  </si>
  <si>
    <t>172, 173, 175, 176,  187, 189, 192, 193, 194, 195, 197, 201, 202, 204, 205</t>
  </si>
  <si>
    <t>21.10.2016.
1 godina
2.1.1.-16/1008-1</t>
  </si>
  <si>
    <t>167, 168, 178, 179, 180, 181, 182, 184, 185, 186, 199</t>
  </si>
  <si>
    <t>21.10.2016.
1 godina
2.1.1.-16/1007-1</t>
  </si>
  <si>
    <t>21.10.2016.
1 godina
2.1.1.-16/1009-1</t>
  </si>
  <si>
    <t>21.10.2016.
1 godina
2.1.1.-16/1010-1</t>
  </si>
  <si>
    <t>Šifriranje artikala</t>
  </si>
  <si>
    <t>5.1.B5/6.104</t>
  </si>
  <si>
    <t xml:space="preserve">29.11.2016.
2.1.1.-16/1293-1
</t>
  </si>
  <si>
    <t>Storno</t>
  </si>
  <si>
    <t>5.1.B5/6.101</t>
  </si>
  <si>
    <t xml:space="preserve">29.11.2016.
2.1.1.-16/1292-1
</t>
  </si>
  <si>
    <t>UGOVOR ZA JEDNOGODIŠNJU NABAVU SREDSTAVA ZA ČIŠĆENJE I ODRŽAVANJE GR 7, 8</t>
  </si>
  <si>
    <t>05.12.2016
2.1.1.-16/1305-1
(1 godina)</t>
  </si>
  <si>
    <t>Ugovor za nabavu medicinskog potrošnog materijala za bolničku uporabu gr 17</t>
  </si>
  <si>
    <t>FOKUS MEDICAL d.o.o.</t>
  </si>
  <si>
    <t>28.11.2016.
2.1.1.-16/1266-1
(1 GODINA)</t>
  </si>
  <si>
    <t>Ugovor za nabavu medicinskog potrošnog materijala za potrebe kirurgije gr. 32</t>
  </si>
  <si>
    <t>PROVIVO d.o.o.</t>
  </si>
  <si>
    <t>28.11.2016.
2.1.1.-16/1271-1
(1 GODINA)</t>
  </si>
  <si>
    <t>339, 340, 346, 356, 357, 358, 368, 369, 370, 371, 373, 374, 376, 377</t>
  </si>
  <si>
    <t>21.10.2016.
1 godina
2.1.1.-16/985-1</t>
  </si>
  <si>
    <t>21.10.2016.
1 godina
2.1.1.-16/988-1</t>
  </si>
  <si>
    <t>21.10.2016.
1 godina
2.1.1.-16/989-1</t>
  </si>
  <si>
    <t>21.10.2016.
1 godina
2.1.1.-16/987-1</t>
  </si>
  <si>
    <t>342, 343, 360, 361, 362, 364, 366, 379</t>
  </si>
  <si>
    <t>21.10.2016.
1 godina
2.1.1.-16/986-1</t>
  </si>
  <si>
    <t>2, 6, 8, 10, 11, 13, 15, 20, 22, 24, 26, 28, 31, 33, 34, 35, 37, 38</t>
  </si>
  <si>
    <t>10.11.2016.
1 godina
2.1.1.-</t>
  </si>
  <si>
    <t>4, 7, 14, 17, 18, 21, 23, 25, 29, 32</t>
  </si>
  <si>
    <t>3, 9, 16, 19, 27, 30</t>
  </si>
  <si>
    <t>4.11.2016.
1 godina
5.7.1.-15/76-26</t>
  </si>
  <si>
    <t>27.10.2016.
1 godina
2.1.1. -16/941-1</t>
  </si>
  <si>
    <t>28.10.2016.
1 godina
1.1.2.-16/1026-1</t>
  </si>
  <si>
    <t>294, 295, 296, 325</t>
  </si>
  <si>
    <t>23.11.</t>
  </si>
  <si>
    <t>23.11.2016.
1 godina
2.1.1.-</t>
  </si>
  <si>
    <t>302, 307, 308, 327</t>
  </si>
  <si>
    <t>17.11.</t>
  </si>
  <si>
    <t>17.11.2016.
1 godina
2.1.1.-</t>
  </si>
  <si>
    <t>309, 310, 317, 318, 319, 321, 333, 334, 335</t>
  </si>
  <si>
    <t>30.11.</t>
  </si>
  <si>
    <t>30.11.2016.
1 godina
2.1.1.-</t>
  </si>
  <si>
    <t>303, 304, 305, 306, 312</t>
  </si>
  <si>
    <t>29.11.</t>
  </si>
  <si>
    <t>29.11.2016.
1 godina
2.1.1.-</t>
  </si>
  <si>
    <t>297, 298, 311, 336</t>
  </si>
  <si>
    <t>15.11.2016.
1 godina
2.1.1.-</t>
  </si>
  <si>
    <t>261, 267, 283, 287, 289, 292</t>
  </si>
  <si>
    <t>22.11.2016.
1 godina
2.1.1.-16/1001-1</t>
  </si>
  <si>
    <t>04.11.2016.
1 godina
2.1.1.-</t>
  </si>
  <si>
    <t>279, 285, 286</t>
  </si>
  <si>
    <t>03.11.2016.
1 godina
2.1.1.-</t>
  </si>
  <si>
    <t>254, 255, 256, 281, 284, 288</t>
  </si>
  <si>
    <t>389, 390, 391, 395, 396, 403, 404, 405, 413, 425</t>
  </si>
  <si>
    <t>03.10.2016.
1 godina
2.1.1.-16/783-1</t>
  </si>
  <si>
    <t>03.10.2016.
1 godina
2.1.1.-16/784-1</t>
  </si>
  <si>
    <t>03.10.2016.
1 godina
2.1.1.-16/782-1</t>
  </si>
  <si>
    <t>380, 382, 383, 385, 387, 388, 392, 400, 401, 406, 419, 420, 421, 427</t>
  </si>
  <si>
    <t>03.10.2016.
1 godina
2.1.1.-16/781-1</t>
  </si>
  <si>
    <t>7, 26, 27, 40, 43</t>
  </si>
  <si>
    <t>30.11.2016.
1 godina
4-302/16</t>
  </si>
  <si>
    <t>28.10.2016.
1 godina
2.1.1.-16/1070-1</t>
  </si>
  <si>
    <t>DOM ZDRAVLJA ZAGREB - CENTAR</t>
  </si>
  <si>
    <t>07.11.2016.
1 godina
341-01/16-01/002</t>
  </si>
  <si>
    <t>NEMA INFO</t>
  </si>
  <si>
    <t>05.10.2016.
1 godina
2.1.1.-16/792-1</t>
  </si>
  <si>
    <t>2, 5, 8, 11, 12, 13, 15, 16, 17, 19, 20, 21, 22, 37, 38, 39</t>
  </si>
  <si>
    <t>06.10.2016.
1 godina
2.1.1.-16/785-1</t>
  </si>
  <si>
    <t>06.10.2016.
1 godina
2.1.1.-16/788-1</t>
  </si>
  <si>
    <t>06.10.2016.
1 godina
2.1.1.-16/790-1</t>
  </si>
  <si>
    <t>06.10.2016.
1 godina
2.1.1.-16/787-1</t>
  </si>
  <si>
    <t>11.11.</t>
  </si>
  <si>
    <t>11.11.2016.
1 godina
2.1.1.-16/988-1</t>
  </si>
  <si>
    <t>380, 381, 400, 401, 406, 408, 409, 418, 419, 420, 421, 427</t>
  </si>
  <si>
    <t>10.10.2016.
1 godina
2.1.1.-16/781-1</t>
  </si>
  <si>
    <t>10.10.2016.
1 godina
2.1.1.-16/784-1</t>
  </si>
  <si>
    <t>10.10.2016.
1 godina
2.1.1.-16/783-1</t>
  </si>
  <si>
    <t>10.10.2016.
1 godina
2.1.1.-16/782-1</t>
  </si>
  <si>
    <t>5.1.B5/6.110</t>
  </si>
  <si>
    <t>Ugovor za nabavu aplikatora za brahiterapiju</t>
  </si>
  <si>
    <t xml:space="preserve">07.12.2016.
2.1.1.-16/1341-1
</t>
  </si>
  <si>
    <t>Ugovor za nabavu UZV uređaja s triplanarnim prikazom prostate za potrebe Klinike za urologiju</t>
  </si>
  <si>
    <t>5.1.B5/6.133</t>
  </si>
  <si>
    <t xml:space="preserve">09.12.2016.
2.1.1.-16/1371-1
</t>
  </si>
  <si>
    <t>Ugovor za jednogodišnju nabavu kemikalija za potrebe laboratorija gr. 1, 3, 7</t>
  </si>
  <si>
    <t>01.12.2016.
2.1.1.-16/1297-1
(1 GODINA)</t>
  </si>
  <si>
    <t>Ugovor za nabavu programa za upravljanje i vizualizaciju podataka</t>
  </si>
  <si>
    <t>5.1.B5/6.24</t>
  </si>
  <si>
    <t>POSLOVNA INTELIGENCIJA d.o.o.</t>
  </si>
  <si>
    <t xml:space="preserve">08.12.2016.
2.1.1.-16/1342-1
</t>
  </si>
  <si>
    <t>OKVIRNI SPORAZUM ZA JEDNOGODIŠNJU NABAVU LIJEKOVA X</t>
  </si>
  <si>
    <t>05.12.2016.
1 godine
2.1.1.-16/1316-3</t>
  </si>
  <si>
    <t>OKVIRNI SPORAZUM ZA JEDNOGODIŠNJU NABAVU LIJEKOVA XIII</t>
  </si>
  <si>
    <t>08.12.2017.</t>
  </si>
  <si>
    <t>08.12.2016.
1 godine
2.1.1.-16/1344-3</t>
  </si>
  <si>
    <t xml:space="preserve">1.2.A.1 </t>
  </si>
  <si>
    <t>2016/S 002-0019055</t>
  </si>
  <si>
    <t>Ugovor za nabavu medicinskog potrošnog materijala za potrebe kirurgije gr. 5</t>
  </si>
  <si>
    <t>28.11.2016.
2.1.1.-16/1276-1
(1 GODINA)</t>
  </si>
  <si>
    <t>Ugovor za jednogodišnju uslugu održavanja i servisiranja medicinske opreme i aparata proizvođača GE (Datex-Ohmeda), Fresenius, Helmer, Barkey, Bicakcilar, Fiocchetti, Ascor, Sthler, Hersill, Consartic, Biosafe, Osatu, JRI, Chart Biomedical</t>
  </si>
  <si>
    <t>2.2.2.A.12</t>
  </si>
  <si>
    <t>2016/S 002-0021053</t>
  </si>
  <si>
    <t>12.12.2016.
2.1.1.-16/1358-1
(1 GODINA)</t>
  </si>
  <si>
    <t>12.12.2017.</t>
  </si>
  <si>
    <t>Ugovor za nabavu pokretnog digitalnog RTG uređaja za potrebe Zavoda za neonatologiju Klinike za ženske bolesti i porode</t>
  </si>
  <si>
    <t>5.1.A5/4.9</t>
  </si>
  <si>
    <t>2016/S 002-0021937</t>
  </si>
  <si>
    <t xml:space="preserve">14.12.2016.
2.1.1.-16/1318-1
</t>
  </si>
  <si>
    <t>Ugovor za nabavu pila i bušilica za potrebe Ortopedije</t>
  </si>
  <si>
    <t>5.1.B5/6.88</t>
  </si>
  <si>
    <t xml:space="preserve">12.12.2016.
2.1.1.-16/1355-1
</t>
  </si>
  <si>
    <t xml:space="preserve">87, 103, 110, </t>
  </si>
  <si>
    <t>13.10.2016.
1 godina
2.1.1.-16/799-1</t>
  </si>
  <si>
    <t>84, 93, 98, 100, 104, 111, 112</t>
  </si>
  <si>
    <t>28.10.2016.
1 godina
2.1.1.-16/797-1</t>
  </si>
  <si>
    <t>86, 89, 95, 96, 97, 99, 101, 108, 118, 120, 121, 122</t>
  </si>
  <si>
    <t>134, 161, 162</t>
  </si>
  <si>
    <t>10.11.2016.
1 godina
2.1.1.-16/868-1</t>
  </si>
  <si>
    <t>126, 127, 132, 133, 144, 148, 155, 165</t>
  </si>
  <si>
    <t>02.11.</t>
  </si>
  <si>
    <t>02.11.2016.
1 godina
2.1.1.-16/870-1</t>
  </si>
  <si>
    <t>28.10.2016.
1 godina
2.1.1.-16/869-1</t>
  </si>
  <si>
    <t>27.10.2016.
1 godina
2.1.1.-16/871-1</t>
  </si>
  <si>
    <t>26.10.2016.
1 godina
2.1.1.-16/873-1</t>
  </si>
  <si>
    <t xml:space="preserve">142, 143, 146, </t>
  </si>
  <si>
    <t>27.10.2016.
1 godina
2.1.1.-16/872-1</t>
  </si>
  <si>
    <t>OPĆA BOLNICA ZABOK I BOLNICA HRVATSKIH VETERANA</t>
  </si>
  <si>
    <t>NEMAM</t>
  </si>
  <si>
    <t>8, 12, 22, 37, 38</t>
  </si>
  <si>
    <t>UGOVOR ZA NABAVU LIJEKOVA IX</t>
  </si>
  <si>
    <t>12.12.2016.
6 mjeseci
2.1.1.-16/1345-1</t>
  </si>
  <si>
    <t>11.06.2017.</t>
  </si>
  <si>
    <t>2016/S 002-0021330</t>
  </si>
  <si>
    <t>05.12.2016.
1 godina
2.1.1.-16/1308-2</t>
  </si>
  <si>
    <t>05.12.2016.
1 godina
2.1.1.-16/1316-3</t>
  </si>
  <si>
    <t>2016/S 002-0019018</t>
  </si>
  <si>
    <t>Ugovor za nabavu medicinskog potrošnog materijala za bolničku uporabu gr 6</t>
  </si>
  <si>
    <t>28.11.2016.
2.1.1.-16/1265-1
(1 GODINA)</t>
  </si>
  <si>
    <t>Ugovor za jednogodišnju nabavu višekratnog potrošnog materijala za medicinske uređaje proizvođača Olympus</t>
  </si>
  <si>
    <t>1.1.2.A.117</t>
  </si>
  <si>
    <t>2016/S 002-0020342</t>
  </si>
  <si>
    <t>12.12.2016.
2.1.1.-16/1357-1
(1 GODINA)</t>
  </si>
  <si>
    <t>Ugovor o jednogodišnjoj usluzi servisnog održavanja sustava za sterilizaciju Sterrad NX</t>
  </si>
  <si>
    <t>2.2.2.B.34</t>
  </si>
  <si>
    <t>17.12.2016.
2.1.1.-16/1309-1
(1 godina)</t>
  </si>
  <si>
    <t>17.12.2017.</t>
  </si>
  <si>
    <t>Ugovor za nabavu aplikacije BioNETub</t>
  </si>
  <si>
    <t>5.1.B5/6.119</t>
  </si>
  <si>
    <t xml:space="preserve">08.12.2016.
2.1.1.-16/1343-1
</t>
  </si>
  <si>
    <t>23.12.2017.</t>
  </si>
  <si>
    <t>Ugovor za nabavu elektroničkih osobnih dozimetara</t>
  </si>
  <si>
    <t>5.1.B5/5.3</t>
  </si>
  <si>
    <t xml:space="preserve">12.12.2016.
2.1.1.-16/1372-1
</t>
  </si>
  <si>
    <t>294, 295</t>
  </si>
  <si>
    <t>11.11.2016.
1 godina
2.1.1.-16/1048-1</t>
  </si>
  <si>
    <t>11.11.2016.
1 godina
2.1.1.-16/1050-1</t>
  </si>
  <si>
    <t>309, 310, 333, 334, 335</t>
  </si>
  <si>
    <t>11.11.2016.
1 godina
2.1.1.-16/1051-1</t>
  </si>
  <si>
    <t>304, 305</t>
  </si>
  <si>
    <t>11.11.2016.
1 godina
2.1.1.-16/1052-1</t>
  </si>
  <si>
    <t>11.11.2016.
1 godina
2.1.1.-16/1049-1</t>
  </si>
  <si>
    <t>343, 362, 366</t>
  </si>
  <si>
    <t>351, 325</t>
  </si>
  <si>
    <t>339, 369, 371, 373, 374, 376</t>
  </si>
  <si>
    <t>262, 264, 265</t>
  </si>
  <si>
    <t>20.10.2016.
1 godina
011-02/15-01/45</t>
  </si>
  <si>
    <t>258, 268, 269, 270, 272, 273, 274, 275, 276, 282, 291</t>
  </si>
  <si>
    <t>257, 261, 267, 283, 287, 289</t>
  </si>
  <si>
    <t>254, 277, 278, 281, 284, 288</t>
  </si>
  <si>
    <t>Ugovor za nabavu sustava za prepoznavanje govora gr 1</t>
  </si>
  <si>
    <t>5.1.B5/6.130</t>
  </si>
  <si>
    <t>NEWTON TECHNOLOGIES ADRIA d.o.o.</t>
  </si>
  <si>
    <t xml:space="preserve">15.12.2016.
2.1.1.-16/1393-1
</t>
  </si>
  <si>
    <t>25.12.2017.</t>
  </si>
  <si>
    <t>Ugovor za nabavu sustava za prepoznavanje govora gr 2 - Uređaji za snimanje digitalnih diktata</t>
  </si>
  <si>
    <t>MEDAVIS d.o.o.</t>
  </si>
  <si>
    <t xml:space="preserve">15.12.2016.
2.1.1.-16/1394-1
</t>
  </si>
  <si>
    <t>Ugovor za nabavu sustava za prepoznavanje govora gr 3 - Diktafoni</t>
  </si>
  <si>
    <t xml:space="preserve">15.12.2016.
2.1.1.-16/1384-1
</t>
  </si>
  <si>
    <t>UGOVOR ZA JEDNOGODIŠNJU NABAVU UGRADBENOG I POTROŠNOG MATERIJALA ZA PLASTIČNU KIRURGIJU GR 1</t>
  </si>
  <si>
    <t>12.12.2016
2.1.1.-16/1370-1
(1 godina)</t>
  </si>
  <si>
    <t>ROZI STEP d.o.o.</t>
  </si>
  <si>
    <t>Ugovor za nabavu defibrilatora</t>
  </si>
  <si>
    <t>5.1.B5/2.3</t>
  </si>
  <si>
    <t xml:space="preserve">15.12.2016.
2.1.1.-16/1405-1
</t>
  </si>
  <si>
    <t>30.12.2016.</t>
  </si>
  <si>
    <t>254, 256, 281, 288</t>
  </si>
  <si>
    <t>19.10.2016.
1 godina
2.1.1.-16/997-1</t>
  </si>
  <si>
    <t>258, 268, 269, 270, 272, 273, 274, 275, 282, 291</t>
  </si>
  <si>
    <t>19.10.2016.
1 godina
2.1.1.-16/1000-1</t>
  </si>
  <si>
    <t>257, 261, 267, 283, 287, 289, 292</t>
  </si>
  <si>
    <t>19.10.2016.
1 godina
2.1.1.-16/1001-1</t>
  </si>
  <si>
    <t>19.10.2016.
1 godina
2.1.1.-16/999-1</t>
  </si>
  <si>
    <t>19.10.2016.
1 godina
2.1.1.-16/998-1</t>
  </si>
  <si>
    <t>171, 172, 173, 175, 176, 187, 192, 193, 194, 195, 197, 201, 204</t>
  </si>
  <si>
    <t>351, 352, 354, 355</t>
  </si>
  <si>
    <t>03.11.2016.
1 godina
2.1.1.-16/987-1</t>
  </si>
  <si>
    <t>342, 343, 362, 363, 364, 379</t>
  </si>
  <si>
    <t>342, 343, 360, 361, 362, 366</t>
  </si>
  <si>
    <t>26.10.2016.
1 godina
2.1.1.-16/986-1</t>
  </si>
  <si>
    <t>27.10.2016.
1 godina
2.1.1.-16/989-1</t>
  </si>
  <si>
    <t>339, 340, 346, 356, 358, 359, 365, 368, 371, 373, 374, 376, 377</t>
  </si>
  <si>
    <t>27.10.2016.
1 godina
2.1.1.-16/998-1</t>
  </si>
  <si>
    <t>254, 255, 256, 277, 281, 288</t>
  </si>
  <si>
    <t>20.10.2016.
1 godina
5.7.1.-16/9-4, 5, 6, 27, 31, 38</t>
  </si>
  <si>
    <t>268, 269, 270, 272, 273, 274, 282, 291</t>
  </si>
  <si>
    <t>03.11.2016.
1 godina
2.1.1.-16/1000-1</t>
  </si>
  <si>
    <t>16.11.2016.
1 godina
5.7.1.-16/12-7, 10, 17, 20, 21, 24, 26, 28, 32, 35</t>
  </si>
  <si>
    <t>16.11.2016.
1 godina
5.7.1.-16/12-6, 12, 19, 22, 30, 33</t>
  </si>
  <si>
    <t>2, 6, 8, 10, 11, 13, 15, 20, 22, 24, 26, 28, 31, 33, 34, 35, 37</t>
  </si>
  <si>
    <t>16.11.2016.
1 godina
5.7.1.-16/12-5, 9, 11, 13,  14, 16, 18, 23, 25, 27, 29, 31, 34, 36, 37, 38, 40</t>
  </si>
  <si>
    <t>5, 6, 8, 13, 14, 17, 18, 19, 20, 21, 22, 37, 38, 39</t>
  </si>
  <si>
    <t>10.11.2016.
1 godina
5.7.1.-16/3-8, 9, 11, 16, 17, 20, 21, 22, 23, 24, 25, 40, 41, 42</t>
  </si>
  <si>
    <t>02.11.2016.
1 godina
5.7.1.-16/3-6, 7, 34</t>
  </si>
  <si>
    <t>02.11.2016.
1 godina
5.7.1.-16/3-4, 26, 30, 43, 44</t>
  </si>
  <si>
    <t>02.11.2016.
1 godina
5.7.2.-16/4-31, 41</t>
  </si>
  <si>
    <t>389, 391, 404, 405, 413</t>
  </si>
  <si>
    <t>27.10.2016.
1 godina
5.7.2.-16/4-13, 15, 28, 37</t>
  </si>
  <si>
    <t>31.10.2016.
1 godina
5.7.2.-16/4-23, 34, 35, 36, 46</t>
  </si>
  <si>
    <t>400, 401, 406, 419, 420, 421, 426, 427</t>
  </si>
  <si>
    <t>10.11.2016.
1 godina
5.7.2.-16/4-24, 25, 30, 43, 44, 45, 50, 51</t>
  </si>
  <si>
    <t>28.10.2016.
1 godina
5.7.1.-16/7-33</t>
  </si>
  <si>
    <t>168, 178, 179, 180, 181, 182, 184, 185, 186, 199</t>
  </si>
  <si>
    <t>03.11.2016.
1 godina
2.1.1.-16/1007-1</t>
  </si>
  <si>
    <t>28.10.2016.
1 godina
5.7.1.-4, 5, 15, 16, 17, 18, 19, 21, 22, 23, 36</t>
  </si>
  <si>
    <t>228, 232, 238, 244, 252</t>
  </si>
  <si>
    <t>08.11.2016.
1 godina
2.1.1.-16/1018-1</t>
  </si>
  <si>
    <t>211, 212, 214, 216, 219, 228, 232, 241, 243</t>
  </si>
  <si>
    <t>31.10.2016.
1 godina
5.7.1.-16/8-5, 6, 8, 10, 12, 19, 23, 32, 34</t>
  </si>
  <si>
    <t>31.10.2016.
1 godina
5.7.1.-16/8-11, 14, 15, 16, 21, 22</t>
  </si>
  <si>
    <t>38, 49, 61, 62</t>
  </si>
  <si>
    <t>4.11.2016.
1 godina
5.7.1.-15/76-5, 16, 27, 28</t>
  </si>
  <si>
    <t>5, 14, 18, 23, 26, 28</t>
  </si>
  <si>
    <t>07.11.2016.
1 godina
5.7.1.-15/75-17, 26, 30, 35, 38, 40</t>
  </si>
  <si>
    <t>309, 310, 317, 318, 319, 333, 334, 335</t>
  </si>
  <si>
    <t>14.11.2016.
1 godina
2.1.1.-16/1051-1</t>
  </si>
  <si>
    <t>339, 340, 356, 357, 358, 359, 368, 370, 371, 373, 374, 376, 377</t>
  </si>
  <si>
    <t>24.10.2016.
1 godina
5.7.1.-16/11-5, 6, 15, 16, 17, 18, 26, 28, 29, 30, 31, 32, 33</t>
  </si>
  <si>
    <t>Ugovor za nabavu medicinskog potrošnog materijala za postupke zamrzavanja gameta gr XI i XII</t>
  </si>
  <si>
    <t>1.1.2.A.74</t>
  </si>
  <si>
    <t>2016/S 002-0023333</t>
  </si>
  <si>
    <t>13.12.2016.
2.1.1.-16/1367-1
(1 GODINA)</t>
  </si>
  <si>
    <t>13.12.2017.</t>
  </si>
  <si>
    <t>Ugovor za nabavu medicinskog potrošnog materijala za potrebe IVF-a gr IX i X</t>
  </si>
  <si>
    <t>1.1.2.A.65</t>
  </si>
  <si>
    <t>2016/S 002-0023472</t>
  </si>
  <si>
    <t>15.12.2016.
2.1.1.-16/1376-1
(1 GODINA)</t>
  </si>
  <si>
    <t>15.12.2017.</t>
  </si>
  <si>
    <t>UGOVOR ZA NABAVU LIJEKOVA XI GR 1</t>
  </si>
  <si>
    <t>19.12.2016.
6 mjeseci
2.1.1.-16/1381-1</t>
  </si>
  <si>
    <t>18.06.2017.</t>
  </si>
  <si>
    <t>02.11.2016.
1 godina
5.7.1.-16/3-35, 36</t>
  </si>
  <si>
    <t>02.11.2016.
1 godina
5.7.1.-16/3-27, 31, 37</t>
  </si>
  <si>
    <t>02.11.2016.
1 godina
5.7.1.-16/5-29</t>
  </si>
  <si>
    <t>02.11.2016.
1 godina
5.7.1.-16/5-17, 9, 10</t>
  </si>
  <si>
    <t>31.10.2016.
1 godina
5.7.1.-16/5-12, 13, 23, 43</t>
  </si>
  <si>
    <t xml:space="preserve">43, 52, 53, 54, </t>
  </si>
  <si>
    <t>10.11.2016.
1 godina
5.7.1.-16/5-5, 14, 15, 16, 22, 24, 28, 30, 44</t>
  </si>
  <si>
    <t>DOM ZDRAVLJA PETRINJA</t>
  </si>
  <si>
    <t>03.11.2016.
1 godina
5.7.1.-16/8-36</t>
  </si>
  <si>
    <t>21.11.</t>
  </si>
  <si>
    <t>21.11.2016.
1 godina
2.1.1.-16/1020-1</t>
  </si>
  <si>
    <t>213, 215, 240, 245</t>
  </si>
  <si>
    <t>11.11.2016.
1 godina
2.1.1.-16/1019-1</t>
  </si>
  <si>
    <t>212, 214, 216, 228, 251</t>
  </si>
  <si>
    <t>16.11.2016.
1 godina
2.1.1.-16/1018-1</t>
  </si>
  <si>
    <t>Ugovor za nabavu popravka donzitometra proizvođača Hologic</t>
  </si>
  <si>
    <t>FINERA d.o.o.</t>
  </si>
  <si>
    <t xml:space="preserve">01.08.2016.
2.1.1.-16/741-1
</t>
  </si>
  <si>
    <t>01.12.</t>
  </si>
  <si>
    <t>01.12.2016.
1 godina
5.7.1.-16/9-22</t>
  </si>
  <si>
    <t>11.11.2016.
1 godina
2.1.1.-16/999-1</t>
  </si>
  <si>
    <t>04.11.2016.
1 godina
2.1.1.-16/1011-1</t>
  </si>
  <si>
    <t>191, 198, 207</t>
  </si>
  <si>
    <t>08.11.2016.
1 godina
2.1.1.-16/1009-1</t>
  </si>
  <si>
    <t>171, 172, 173, 175, 176, 187, 188, 189, 192, 193, 194, 195, 197, 201, 202, 204, 205</t>
  </si>
  <si>
    <t>09.11.</t>
  </si>
  <si>
    <t>09.11.2016.
1 godina
2.1.1.-16/1008-1</t>
  </si>
  <si>
    <t>11.11.2016.
1 godina
2.1.1.-16/1010-1</t>
  </si>
  <si>
    <t>173, 175, 187, 192, 193, 194, 201, 202, 204, 205</t>
  </si>
  <si>
    <t>07.11.2016.
1 godina
2.1.1.-16/1012-1</t>
  </si>
  <si>
    <t>04.11.2016.
1 godina
2.1.1.-16/1009-1</t>
  </si>
  <si>
    <t>171, 172, 175, 187, 192, 193, 195, 197, 201, 204, 205</t>
  </si>
  <si>
    <t>08.11.2016.
1 godina
2.1.1.-16/1008-1</t>
  </si>
  <si>
    <t>07.11.2016.
1 godina
2.1.1.-16/1011-1</t>
  </si>
  <si>
    <t>07.11.2016.
1 godina
2.1.1.-16/1007-1</t>
  </si>
  <si>
    <t>131, 134, 151, 161</t>
  </si>
  <si>
    <t>25.10.2016.
1 godina
2.1.1.-16/868-1</t>
  </si>
  <si>
    <t>21.10.2016.
1 godina
2.1.1.-16/868-1</t>
  </si>
  <si>
    <t>126, 127, 128, 132, 133, 144, 148, 155, 157, 165</t>
  </si>
  <si>
    <t>18.10.2016.
1 godina
2.1.1.-16/870-1</t>
  </si>
  <si>
    <t>143, 146</t>
  </si>
  <si>
    <t>21.10.2016.
1 godina
2.1.1.-16/872-1</t>
  </si>
  <si>
    <t>24.10.2016.
1 godina
2.1.1.-16/873-1</t>
  </si>
  <si>
    <t>ŽUPANIJSKA BOLNICA ČAKOVEC</t>
  </si>
  <si>
    <t>03.10.2016.
1 godina
2.1.1.-16/774-1</t>
  </si>
  <si>
    <t>10.10.2016.
1 godina
2.1.1.-16/792-1</t>
  </si>
  <si>
    <t>10.10.2016.
1 godina
2.1.1.-16/795-1</t>
  </si>
  <si>
    <t>10.10.2016.
1 godina
2.1.1.-16/791-1</t>
  </si>
  <si>
    <t>8, 12, 13, 20, 21, 22, 37, 38</t>
  </si>
  <si>
    <t>10.10.2016.
1 godina
2.1.1.-16/793-1</t>
  </si>
  <si>
    <t>05.12.2016.
1 godina
2.1.1.-16/1316-2</t>
  </si>
  <si>
    <t>Ugovor za nabavu audiovizualnog informacijskog sustava za prijem pacijenata</t>
  </si>
  <si>
    <t>5.1.B5/6.118</t>
  </si>
  <si>
    <t xml:space="preserve">12.12.2016.
2.1.1.-16/1356-1
</t>
  </si>
  <si>
    <t>20.12.2016.</t>
  </si>
  <si>
    <t>Ugovor za nabavu radne odjeće za potrebe djelatnika KBC-a Zagreb gr. III</t>
  </si>
  <si>
    <t>2016/S 002-0023590</t>
  </si>
  <si>
    <t>15.12.2016.
2.1.1.-16/1379-1
(1 GODINA)</t>
  </si>
  <si>
    <t>Ugovor za nabavu medicinskog potrošnog materijala za postupke zamrzavanja gameta gr XIII</t>
  </si>
  <si>
    <t>13.12.2016.
2.1.1.-16/1368-1
(1 GODINA)</t>
  </si>
  <si>
    <t>382, 383, 400, 406, 421</t>
  </si>
  <si>
    <t>PHOENIX-Farmacija d.o.o.</t>
  </si>
  <si>
    <t>380, 382, 383, 385, 387, 388, 392, 400, 401, 406, 409, 419, 421, 424, 426</t>
  </si>
  <si>
    <t>03.11.2016.
1 godina
2.1.1.-16/781-1</t>
  </si>
  <si>
    <t>10.11.2016.
1 godina
2.1.1.-16/782-1</t>
  </si>
  <si>
    <t>389, 390, 391, 395, 396, 403, 425</t>
  </si>
  <si>
    <t>31.10.2016.
1 godina
2.1.1.-16/783-1</t>
  </si>
  <si>
    <t>03.11.2016.
1 godina
2.1.1.-16/784-1</t>
  </si>
  <si>
    <t>389, 390, 395, 403, 404, 405, 413, 414</t>
  </si>
  <si>
    <t>12.09.2016.
1 godina
2.1.1.-16/783-1</t>
  </si>
  <si>
    <t>12.09.2016.
1 godina
2.1.1.-16/784-1</t>
  </si>
  <si>
    <t>386, 417</t>
  </si>
  <si>
    <t>12.09.2016.
1 godina
2.1.1.-16/782-1</t>
  </si>
  <si>
    <t>400, 406, 419, 420, 424</t>
  </si>
  <si>
    <t>12.09.2016.
1 godina
2.1.1.-16/781-1</t>
  </si>
  <si>
    <t>27.10.2016.
1 godina
2.1.1.-16/785-1</t>
  </si>
  <si>
    <t>43, 52, 53, 54, 60, 63, 66, 82</t>
  </si>
  <si>
    <t>10.10.2016.
1 godina
2.1.1.-16/790-1</t>
  </si>
  <si>
    <t>10.10.2016.
1 godina
2.1.1.-16/787-1</t>
  </si>
  <si>
    <t>10.10.2016.
1 godina
2.1.1.-16/788-1</t>
  </si>
  <si>
    <t>55, 56, 71, 72, 73, 76, 77, 83</t>
  </si>
  <si>
    <t>10.10.2016.
1 godina
2.1.1.-16/785-1</t>
  </si>
  <si>
    <t>15.09.2016.
1 godina
2.1.1.-16/785-1</t>
  </si>
  <si>
    <t>15.09.2016.
1 godina
2.1.1.-16/788-1</t>
  </si>
  <si>
    <t>15.09.2016.
1 godina
2.1.1.-16/787-1</t>
  </si>
  <si>
    <t>15.09.2016.
1 godina
2.1.1.-16/790-1</t>
  </si>
  <si>
    <t>212, 228, 232, 241, 243, 251, 252</t>
  </si>
  <si>
    <t>218, 221, 222, 230, 231</t>
  </si>
  <si>
    <t>15.11.2016.
1 godina
2.1.1.-16/1020-1</t>
  </si>
  <si>
    <t>213, 224, 229, 234, 235, 237, 240, 245</t>
  </si>
  <si>
    <t>15.11.2016.
1 godina
2.1.1.-16/1019-1</t>
  </si>
  <si>
    <t>14.11.2016.
1 godina
2.1.1.-16/1021-1</t>
  </si>
  <si>
    <t>17.11.2016.
1 godina
2.1.1.-16/1022-1</t>
  </si>
  <si>
    <t>224, 235, 237, 240, 245</t>
  </si>
  <si>
    <t>08.11.2016.
1 godina
2.1.1.-16/1019-1</t>
  </si>
  <si>
    <t>08.11.2016.
1 godina
2.1.1.-16/1021-1</t>
  </si>
  <si>
    <t>08.11.2016.
1 godina
2.1.1.-16/1020-1</t>
  </si>
  <si>
    <t>08.11.2016.
1 godina
2.1.1.-16/1022-1</t>
  </si>
  <si>
    <t>254, 281, 288</t>
  </si>
  <si>
    <t>16.11.2016.
1 godina
2.1.1.-16/997-1</t>
  </si>
  <si>
    <t>15.11.2016.
1 godina
2.1.1.-16/999-1</t>
  </si>
  <si>
    <t>257, 259, 261, 267, 283, 287, 289</t>
  </si>
  <si>
    <t>15.11.2016.
1 godina
2.1.1.-16/1001-1</t>
  </si>
  <si>
    <t>14.11.2016.
1 godina
2.1.1.-16/998-1</t>
  </si>
  <si>
    <t>14.11.2016.
1 godina
2.1.1.-16/1000-1</t>
  </si>
  <si>
    <t>254, 255, 284, 288</t>
  </si>
  <si>
    <t>04.11.2016.
1 godina
2.1.1.-16/997-1</t>
  </si>
  <si>
    <t>04.11.2016.
1 godina
2.1.1.-16/998-1</t>
  </si>
  <si>
    <t>271, 279, 285</t>
  </si>
  <si>
    <t>04.11.2016.
1 godina
2.1.1.-16/999-1</t>
  </si>
  <si>
    <t>04.11.2016.
1 godina
2.1.1.-16/1000-1</t>
  </si>
  <si>
    <t>259, 267, 283, 287, 289, 292</t>
  </si>
  <si>
    <t>04.11.2016.
1 godina
2.1.1.-16/1001-1</t>
  </si>
  <si>
    <t>302, 307, 308, 327, 328</t>
  </si>
  <si>
    <t>23.11.2016.
1 godina
2.1.1.-16/1050-1</t>
  </si>
  <si>
    <t>16.11.2016.
1 godina
011-02/15-01/45</t>
  </si>
  <si>
    <t>309, 310, 317, 318, 333, 334, 335</t>
  </si>
  <si>
    <t>15.11.2016.
1 godina
011-02/15-01/45</t>
  </si>
  <si>
    <t>295, 296, 325</t>
  </si>
  <si>
    <t>17.11.2016.
1 godina
011-02/15-01/45</t>
  </si>
  <si>
    <t>14.11.2016.
1 godina
011-02/15-01/45</t>
  </si>
  <si>
    <t>295, 296, 323, 325</t>
  </si>
  <si>
    <t>15.11.2016.
1 godina
5.7.1-16/10-5, 6, 33, 35</t>
  </si>
  <si>
    <t>303, 304, 305, 312</t>
  </si>
  <si>
    <t>14.11.2016.
1 godina
2.1.1.-16/1052-1</t>
  </si>
  <si>
    <t>297, 311, 315, 316, 322, 336</t>
  </si>
  <si>
    <t>14.11.2016.
1 godina
2.1.1.-16/1049-1</t>
  </si>
  <si>
    <t>14.11.2016.
1 godina
2.1.1.-16/1048-1</t>
  </si>
  <si>
    <t>14.11.2016.
1 godina
2.1.1.-16/1050-1</t>
  </si>
  <si>
    <t>340, 356, 357, 358, 359, 368, 369, 370, 371, 373, 374, 376, 377</t>
  </si>
  <si>
    <t>03.11.2016.
1 godina
2.1.1.-16/995-1</t>
  </si>
  <si>
    <t>02.11.2016.
1 godina
2.1.1.-16/989-1</t>
  </si>
  <si>
    <t>10.11.2016.
1 godina
2.1.1.-16/987-1</t>
  </si>
  <si>
    <t>342, 343, 362, 363, 364, 366, 379</t>
  </si>
  <si>
    <t>03.11.2016.
1 godina
2.1.1.-16/988-1</t>
  </si>
  <si>
    <t>339, 340, 357, 368, 369, 370, 371, 373, 374, 376, 377</t>
  </si>
  <si>
    <t>21.11.2016.
1 godina
2.1.1.-16/985-1</t>
  </si>
  <si>
    <t>21.11.2016.
1 godina
2.1.1.-16/988-1</t>
  </si>
  <si>
    <t>21.11.2016.
1 godina
2.1.1.-16/987-1</t>
  </si>
  <si>
    <t>342, 343, 360, 362, 363, 364, 366, 379</t>
  </si>
  <si>
    <t>21.11.2016.
1 godina
2.1.1.-16/986-1</t>
  </si>
  <si>
    <t>UGOVOR ZA NABAVU LIJEKOVA XI GR 2</t>
  </si>
  <si>
    <t>19.12.2016.
6 mjeseci
2.1.1.-16/1382-1</t>
  </si>
  <si>
    <t>Ugovor za nabavu medicinskog potrošnog materijala za potrebe IVF-a gr VI, VIII, XI</t>
  </si>
  <si>
    <t>15.12.2016.
2.1.1.-16/1374-1
(1 GODINA)</t>
  </si>
  <si>
    <t>Ugovor za nabavu medicinskog potrošnog materijala za postupke zamrzavanja gameta gr. XVI</t>
  </si>
  <si>
    <t>13.12.2016.
2.1.1.-16/1369-1
(1 GODINA)</t>
  </si>
  <si>
    <t>Ugovor za nabavu uređaja za bipolarnu endoskopsku resekciju prostate i mokraćnog mjehura</t>
  </si>
  <si>
    <t>5.1.B5/6.94</t>
  </si>
  <si>
    <t xml:space="preserve">15.12.2016.
2.1.1.-16/1383-1
</t>
  </si>
  <si>
    <t>Ugovor za nabavu fiberbronhoskopa gr. I i II</t>
  </si>
  <si>
    <t>5.1.B5/6.112</t>
  </si>
  <si>
    <t xml:space="preserve">14.12.2016.
2.1.1.-16/1310-1
</t>
  </si>
  <si>
    <t>Ugovor za nabavu potrošnog materijala za periferni i centralno venski pristup u onkologiji i hematologiji</t>
  </si>
  <si>
    <t>2016/S 002-0023844</t>
  </si>
  <si>
    <t>15.12.2016.
2.1.1.-16/1377-1
(1 GODINA)</t>
  </si>
  <si>
    <t>Ugovor za nabavu radioloških digitalnih kazeta</t>
  </si>
  <si>
    <t>5.1.B5/6.137</t>
  </si>
  <si>
    <t xml:space="preserve">15.12.2016.
2.1.1.-16/1392-1
</t>
  </si>
  <si>
    <t>25.12.2016.</t>
  </si>
  <si>
    <t>Ugovor za nabavu kolica za distrubuciju hrane</t>
  </si>
  <si>
    <t>5.1.B5/6.142</t>
  </si>
  <si>
    <t>PROJECT TRADE d.o.o.</t>
  </si>
  <si>
    <t xml:space="preserve">16.12.2016.
2.1.1.-16/1403-1
</t>
  </si>
  <si>
    <t>Ugovor za nabavu uređaja za mjerenje indirektne kalorimetrije</t>
  </si>
  <si>
    <t>5.1.B5/6.114</t>
  </si>
  <si>
    <t xml:space="preserve">22.12.2016.
2.1.1.-16/1408-1
</t>
  </si>
  <si>
    <t>Ugovor za nabavu medicinskog potrošnog materijala za postupke zamrzavanja gameta gr. II, VI, IX, i XVII</t>
  </si>
  <si>
    <t>13.12.2016.
2.1.1.-16/1366-1
(1 GODINA)</t>
  </si>
  <si>
    <t xml:space="preserve">15.12.2016.
2.1.1.-16/1354-1
</t>
  </si>
  <si>
    <t>1.1.2.A.42</t>
  </si>
  <si>
    <t>2016/S 002-0019785</t>
  </si>
  <si>
    <t>Ugovor za nabavu medicinskog potrošnog materijala za potrebe endoskopske kirurgije 2-gr 1 i 4</t>
  </si>
  <si>
    <t>Ugovor za nabavu radne odjeće za potrebe djelatnika KBC-a Zagreb gr II</t>
  </si>
  <si>
    <t>15.12.2016.
2.1.1.-16/1378-1
(1 godina)</t>
  </si>
  <si>
    <t>09.01.2017.</t>
  </si>
  <si>
    <t>1, 5, 18, 23, 28 i 35</t>
  </si>
  <si>
    <t>23.12.</t>
  </si>
  <si>
    <t xml:space="preserve">23.12.2016.
1 godina
</t>
  </si>
  <si>
    <t>MEDIKA D.D.</t>
  </si>
  <si>
    <t>23.12.2016.
1 godina
709-T-2016</t>
  </si>
  <si>
    <t>29, 30</t>
  </si>
  <si>
    <t>23.12.2016.
1 godina
710-T-2016</t>
  </si>
  <si>
    <t>UGRADBENI I POTROŠNI MATERIJAL ZA NEUROKIRURGIJU - I - 3</t>
  </si>
  <si>
    <t>91, 106</t>
  </si>
  <si>
    <t>23.12..2016.
1 godina
711-T-2016</t>
  </si>
  <si>
    <t>97, 98, 99, 101, 105</t>
  </si>
  <si>
    <t xml:space="preserve">23.12..2016.
1 godina
</t>
  </si>
  <si>
    <t>10.12.</t>
  </si>
  <si>
    <t>10.12.2016.
1 godina
2.1.1.-198/16</t>
  </si>
  <si>
    <t>10.12.2016.
1 godina
2.1.1.-199/16</t>
  </si>
  <si>
    <t>10.12.2016.
1 godina
2.1.1.-203/16</t>
  </si>
  <si>
    <t>10.12.2016.
1 godina
2.1.1.-200/16</t>
  </si>
  <si>
    <t>28.11.</t>
  </si>
  <si>
    <t>Ugovor za nabavu medicinskog potrošnog materijala za postupke zamrzavanja gameta gr. I, III, IV, V, VII, VIII, X, i XV</t>
  </si>
  <si>
    <t>13.12.2016.
2.1.1.-16/1365-1
(1 godina)</t>
  </si>
  <si>
    <t>15.12.2016.
2.1.1.-16/1373-1
(1 GODINA)</t>
  </si>
  <si>
    <t>Ugovor za nabavu medicinskog potrošnog materijala za potrebe IVF-a gr I, II, III, IV, V i VII</t>
  </si>
  <si>
    <t>Ugovor za nabavu prijenosnog UZV uređaja za hitnu medicnu</t>
  </si>
  <si>
    <t>5.1.B5/6.113</t>
  </si>
  <si>
    <t>Ugovor za nabavu kliznih mikrotoma</t>
  </si>
  <si>
    <t>5.1.B5/6.134</t>
  </si>
  <si>
    <t>16.12.2016.
2.1.1.-16/1404-1</t>
  </si>
  <si>
    <t>Ugovor za nabavu uređaja za grijanje i hlađenje pacijenata</t>
  </si>
  <si>
    <t>5.1.B5/6.141</t>
  </si>
  <si>
    <t>23.12.2016.
2.1.1.-16/1396-1</t>
  </si>
  <si>
    <t>Ugovor o nadogradnji i jednogodišnjoj usluzi redovnog i izvanrednog održavanja BioNET LIS računalne aplikacije</t>
  </si>
  <si>
    <t>2.8.B.5</t>
  </si>
  <si>
    <t>23.12.2016.
2.1.1.-16/1398-1</t>
  </si>
  <si>
    <t>30.12.2016.
1 godina
2.1.1.-16/1409-3</t>
  </si>
  <si>
    <t>30.12.2016.
1 godina
2.1.1.-16/1409-2</t>
  </si>
  <si>
    <t>ANEKS UGOVORA ZA NABAVU UGRADBENOG I POTROŠNOG MATERIJALA ZA OFTALMOLOGIJU, GR. 1, 20, 21, 33, 42, 44, 53</t>
  </si>
  <si>
    <t>23.12.2016.
1 godina
2.1.1.-16/1002-3</t>
  </si>
  <si>
    <t>OKVIRNI SPORAZUM ZA JEDNOGODIŠNJU NABAVU LIJEKOVA XVIII</t>
  </si>
  <si>
    <t>2016/S 002-0022536</t>
  </si>
  <si>
    <t>OKVIRNI SPORAZUM ZA JEDNOGODIŠNJU NABAVU LIJEKOVA XIX</t>
  </si>
  <si>
    <t>30.12.2016.
1 godina
2.1.1.-16/1410-1</t>
  </si>
  <si>
    <t>2016/S 002-0022560</t>
  </si>
  <si>
    <t>UGOVOR ZA NABAVU LIJEKOVA XV</t>
  </si>
  <si>
    <t>28.12.2016.
1 godina
2.1.1.-16/1406-1</t>
  </si>
  <si>
    <t>28.12.2017.</t>
  </si>
  <si>
    <t>Ugovor za nabavu potrošnog materijala za uzimanje i pohranu muskuloskeletnog tkiva gr. II</t>
  </si>
  <si>
    <t>1.1.2.B.36</t>
  </si>
  <si>
    <t xml:space="preserve">GLANINVEST </t>
  </si>
  <si>
    <t>27.12.2016.
2.1.1.-16/1400-1</t>
  </si>
  <si>
    <t>27.12.2017.</t>
  </si>
  <si>
    <t>II. Ugovor za jednogodišnju nabavu reagensa i potrošnog materijala za potrebe laboratorijske dijagnostike za multiparametrijske POCT uređaje</t>
  </si>
  <si>
    <t>18.09.2017.</t>
  </si>
  <si>
    <t>18.09.2016.
2.1.1.-16/1162-1
(1 GODINA)</t>
  </si>
  <si>
    <t>1.1.2.A.170</t>
  </si>
  <si>
    <t>2015/S 002-0012667</t>
  </si>
  <si>
    <t>Ugovor za jednogodišnju uslugu servisnog održavanja donzitometra HOLOGIC za potrebe Klinike za unutarnje bolesti</t>
  </si>
  <si>
    <t>2.2.2.B/132</t>
  </si>
  <si>
    <t>23.12.2016.
2.1.1.-16/1407-1
(1 godina)</t>
  </si>
  <si>
    <t>84, 85, 83, 98, 100, 102, 104, 105, 111, 112, 115</t>
  </si>
  <si>
    <t>08.12.</t>
  </si>
  <si>
    <t>08.12.2016.
1 godina
2.1.1.-16/797-1</t>
  </si>
  <si>
    <t>30.11.2016.
1 godina
2.1.1.-16/796-1</t>
  </si>
  <si>
    <t>29.11.2016.
1 godina
2.1.1.-16/798-1</t>
  </si>
  <si>
    <t>08.12.2016.
1 godina
2.1.1.-16/799-1</t>
  </si>
  <si>
    <t>30.11.2016.
1 godina
2.1.1.-16/870-1</t>
  </si>
  <si>
    <t>235, 237, 245</t>
  </si>
  <si>
    <t>10.11.2016.
1 godina
2.1.1.-16/1019-1</t>
  </si>
  <si>
    <t>04.11.2016.
1 godina
2.1.1.-16/1021-1</t>
  </si>
  <si>
    <t>244, 252</t>
  </si>
  <si>
    <t>298, 316</t>
  </si>
  <si>
    <t>01.12.2016.
1 godina
2.1.1.-16/1049-1</t>
  </si>
  <si>
    <t>295, 323, 325</t>
  </si>
  <si>
    <t>07.11.2016.
1 godina
2.1.1.-16/1048-1</t>
  </si>
  <si>
    <t>294, 295, 296, 323</t>
  </si>
  <si>
    <t>23.11.2016.
1 godina
2.1.1.-16/1048-1</t>
  </si>
  <si>
    <t>297, 298, 311, 322, 324, 336</t>
  </si>
  <si>
    <t>18.11.</t>
  </si>
  <si>
    <t>18.11.2016.
1 godina
2.1.1.-16/1049-1</t>
  </si>
  <si>
    <t>302, 307, 308, 326, 327, 328</t>
  </si>
  <si>
    <t>24.11.</t>
  </si>
  <si>
    <t>24.11.2016.
1 godina
2.1.1.-16/1050-1</t>
  </si>
  <si>
    <t>29.11.2016.
1 godina
2.1.1.-16/1051-1</t>
  </si>
  <si>
    <t>309, 310, 318, 319, 333, 334, 335</t>
  </si>
  <si>
    <t>07.11.2016.
1 godina
2.1.1.-16/1051-1</t>
  </si>
  <si>
    <t>302, 307, 326, 327</t>
  </si>
  <si>
    <t>07.11.2016.
1 godina
2.1.1.-16/1050-1</t>
  </si>
  <si>
    <t>22.11.2016.
1 godina
2.1.1.-16/1052-1</t>
  </si>
  <si>
    <t>05.12.</t>
  </si>
  <si>
    <t>05.12.2016.
1 godina
2.1.1.-16/1051-1</t>
  </si>
  <si>
    <t>303, 305</t>
  </si>
  <si>
    <t>07.11.2016.
1 godina
2.1.1.-16/1052-1</t>
  </si>
  <si>
    <t>10.11.2016.
1 godina
2.1.1.-16/1012-1</t>
  </si>
  <si>
    <t>167, 178, 179, 180, 185</t>
  </si>
  <si>
    <t>14.11.2016.
1 godina
2.1.1.-16/1007-1</t>
  </si>
  <si>
    <t>173, 176, 189, 193, 195, 201, 202</t>
  </si>
  <si>
    <t>10.11.2016.
1 godina
2.1.1.-16/1008-1</t>
  </si>
  <si>
    <t>16.11.2016.
1 godina
2.1.1.-16/1011-1</t>
  </si>
  <si>
    <t>287, 289, 292</t>
  </si>
  <si>
    <t>02.11.2016.
1 godina
2.1.1.-16/1001-1</t>
  </si>
  <si>
    <t>254, 277, 281, 288</t>
  </si>
  <si>
    <t>268, 269, 270, 275, 2760, 291</t>
  </si>
  <si>
    <t>14.11.2016.
1 godina
2.1.1.-16/999-1</t>
  </si>
  <si>
    <t>03.11.2016.
1 godina
2.1.1.-16/1070-1</t>
  </si>
  <si>
    <t>7, 26, 27</t>
  </si>
  <si>
    <t>08.12.2016.
1 godina
5.7.1.-15/86-93, 96, 97</t>
  </si>
  <si>
    <t>27.10.2016.
1 godina
5.7.1.-15/86-93, 96, 97</t>
  </si>
  <si>
    <t>339, 340, 346, 356, 357, 358, 359, 369, 370, 373, 374, 376</t>
  </si>
  <si>
    <t>16.11.2016.
1 godina
2.1.1.-16/985-1</t>
  </si>
  <si>
    <t>342, 343, 360, 361, 362, 366, 179</t>
  </si>
  <si>
    <t>10.11.2016.
1 godina
2.1.1.-16/989-1</t>
  </si>
  <si>
    <t>14.11.2016.
1 godina
2.1.1.-16/987-1</t>
  </si>
  <si>
    <t>13.09.2016.
1 godina
2.1.1.-16/794-1</t>
  </si>
  <si>
    <t>13.09.2016.
1 godina
2.1.1.-16/791-1</t>
  </si>
  <si>
    <t>13.09.2016.
1 godina
2.1.1.-16/792-1</t>
  </si>
  <si>
    <t>5, 8, 13, 14, 15, 19, 21, 22, 37, 38</t>
  </si>
  <si>
    <t>13.09.2016.
1 godina
2.1.1.-16/793-1</t>
  </si>
  <si>
    <t>13.09.2016.
1 godina
2.1.1.-16/795-1</t>
  </si>
  <si>
    <t>33, 42</t>
  </si>
  <si>
    <t>21.10.2016.
1 godina
2.1.1.-16/1002-1</t>
  </si>
  <si>
    <t>04.11.2016.
1 godina
2.1.1.-16/1070-1</t>
  </si>
  <si>
    <t>10.10.2016.
1 godina
2.1.1.-16/868-1</t>
  </si>
  <si>
    <t>05.10.2016.
1 godina
2.1.1.-16/797-1</t>
  </si>
  <si>
    <t>84, 85, 83, 102, 104, 105, 111, 112, 115</t>
  </si>
  <si>
    <t>25.10.2016.
1 godina
2.1.1.-16/797-1</t>
  </si>
  <si>
    <t>24, 29, 30, 34</t>
  </si>
  <si>
    <t>07.11.2016.
1 godina
2.1.1. -16/941-1</t>
  </si>
  <si>
    <t>1, 19</t>
  </si>
  <si>
    <t>21.11.2016.
1 godina
2.1.1. -16/940-1</t>
  </si>
  <si>
    <t>04.11.2016.
1 godina
1.1.2.-16/1024-1</t>
  </si>
  <si>
    <t>04.11.2016.
1 godina
1.1.2.-16/1027-1</t>
  </si>
  <si>
    <t>91, 92, 93</t>
  </si>
  <si>
    <t xml:space="preserve">23.11.2016.
1 godina
5.7.1.-15/77-25, 26, 27 </t>
  </si>
  <si>
    <t>26.10.2016.
1 godina
2.1.1.-16/1007-1</t>
  </si>
  <si>
    <t>26.10.2016.
1 godina
2.1.1.-16/1010-1</t>
  </si>
  <si>
    <t>171, 172, 173, 175, 176, 187, 188, 189, 192, 193, 197, 201, 202, 205</t>
  </si>
  <si>
    <t>26.10.2016.
1 godina
2.1.1.-16/1008-1</t>
  </si>
  <si>
    <t>26.10.2016.
1 godina
2.1.1.-16/1009-1</t>
  </si>
  <si>
    <t>28.11.2016.
1 godina
2.1.1.-16/1068-1</t>
  </si>
  <si>
    <t>28.11.2016.
1 godina
2.1.1.-16/1067-1</t>
  </si>
  <si>
    <t>10.12.2016.
1 godina
2.1.1.-16/</t>
  </si>
  <si>
    <t>08.12.2016.
1 godina
2.1.1.-16/868-1</t>
  </si>
  <si>
    <t>08.12.2016.
1 godina
2.1.1.-16/869-1</t>
  </si>
  <si>
    <t>29.11.2016.
1 godina
2.1.1.-16/871-1</t>
  </si>
  <si>
    <t>136, 141</t>
  </si>
  <si>
    <t>05.12.2016.
1 godina
2.1.1.-16/873-1</t>
  </si>
  <si>
    <t>01.12.2016.
1 godina
2.1.1.-16/872-1</t>
  </si>
  <si>
    <t>06.12.</t>
  </si>
  <si>
    <t>06.12.2016.
1 godina
2.1.1.-16/1011-1</t>
  </si>
  <si>
    <t>05.12.2016.
1 godina
2.1.1.-16/1012-1</t>
  </si>
  <si>
    <t>15.11.2016.
1 godina
2.1.1.-16/1007-1</t>
  </si>
  <si>
    <t>08.12.2016.
1 godina
2.1.1.-16/1010-1</t>
  </si>
  <si>
    <t>20.11.</t>
  </si>
  <si>
    <t>20.11.2016.
1 godina
2.1.1.-16/1008-1</t>
  </si>
  <si>
    <t>08.12.2016.
1 godina
2.1.1.-16/1007-1</t>
  </si>
  <si>
    <t>30.11.2016.
1 godina
2.1.1.-16/1009-1</t>
  </si>
  <si>
    <t>2, 19, 26</t>
  </si>
  <si>
    <t>20, 21, 33, 53</t>
  </si>
  <si>
    <t>26.10.2016.
1 godina
2.1.1.-16/1002-1</t>
  </si>
  <si>
    <t>7, 26, 27, 40</t>
  </si>
  <si>
    <t>08.12.2016.
1 godina
2.1.1.-16/1070-1</t>
  </si>
  <si>
    <t>1, 20, 21, 33, 42, 44, 53</t>
  </si>
  <si>
    <t>10.11.2016.
1 godina
2.1.1.-16/1002-1</t>
  </si>
  <si>
    <t>2, 3, 7, 19, 26, 27, 40, 43</t>
  </si>
  <si>
    <t>14.11.2016.
1 godina
2.1.1.-16/1070-1</t>
  </si>
  <si>
    <t>297, 298, 300, 311, 315, 316, 322, 324, 336</t>
  </si>
  <si>
    <t>309, 310, 317, 333, 334, 335</t>
  </si>
  <si>
    <t>12.12.</t>
  </si>
  <si>
    <t>12.12.2016.
1 godina
2.1.1.-16/1051-1</t>
  </si>
  <si>
    <t>305, 312</t>
  </si>
  <si>
    <t>01.12.2016.
1 godina
2.1.1.-16/1052-1</t>
  </si>
  <si>
    <t>302, 307, 308, 326, 327</t>
  </si>
  <si>
    <t>06.12.2016.
1 godina
2.1.1.-16/1050-1</t>
  </si>
  <si>
    <t>295, 296</t>
  </si>
  <si>
    <t>01.12.2016.
1 godina
2.1.1.-16/1048-1</t>
  </si>
  <si>
    <t>4, 7, 17, 18, 21, 23, 25, 29, 32</t>
  </si>
  <si>
    <t>2, 5, 8, 10, 11, 13, 15, 20, 22, 26, 31, 33, 34, 35</t>
  </si>
  <si>
    <t>25.11.</t>
  </si>
  <si>
    <t>25.11.2016.
1 godina
2.1.1.-16/1096-1</t>
  </si>
  <si>
    <t>28.11.2016.
1 godina
5.7.1.-16/12-7, 10, 17, 20, 21, 24, 26, 28, 32, 35</t>
  </si>
  <si>
    <t>28.11.2016.
1 godina
5.7.1.-16/12-6, 12, 19, 22, 30, 33</t>
  </si>
  <si>
    <t>228, 232, 251, 252</t>
  </si>
  <si>
    <t>01.12.2016.
1 godina
2.1.1.-16/1018-1</t>
  </si>
  <si>
    <t>227, 250</t>
  </si>
  <si>
    <t>18.11.2016.
1 godina
2.1.1.-16/1021-1</t>
  </si>
  <si>
    <t>218, 221, 222, 231</t>
  </si>
  <si>
    <t>30.11.2016.
1 godina
2.1.1.-16/1020-1</t>
  </si>
  <si>
    <t>235, 240, 245</t>
  </si>
  <si>
    <t>21.11.2016.
1 godina
2.1.1.-16/1019-1</t>
  </si>
  <si>
    <t>339, 340, 356, 369, 370, 373, 374, 376, 377</t>
  </si>
  <si>
    <t>26.10.2016.
1 godina
2.1.1.-16/985-1</t>
  </si>
  <si>
    <t>254, 277, 278, 281</t>
  </si>
  <si>
    <t>302, 307, 308, 326, 327, 329</t>
  </si>
  <si>
    <t>21.11.2016.
1 godina
2.1.1.-16/1050-1</t>
  </si>
  <si>
    <t>22.11.2016.
1 godina
2.1.1.-16/1049-1</t>
  </si>
  <si>
    <t>303, 312</t>
  </si>
  <si>
    <t>28.11.2016.
1 godina
2.1.1.-16/1052-1</t>
  </si>
  <si>
    <t>08.11.2016.
1 godina
2.1.1.-16/1049-1</t>
  </si>
  <si>
    <t>171, 172, 173, 175, 176, 187, 188, 189, 192, 193, 194, 195</t>
  </si>
  <si>
    <t>03.11.2016.
1 godina
2.1.1.-16/1008-1</t>
  </si>
  <si>
    <t>02.11.2016.
1 godina
2.1.1.-16/1009-1</t>
  </si>
  <si>
    <t>08.11.2016.
1 godina
2.1.1.-16/1011-1</t>
  </si>
  <si>
    <t>342, 343, 360, 361, 363, 364, 366, 379</t>
  </si>
  <si>
    <t>27.10.2016.
1 godina
2.1.1.-16/988-1</t>
  </si>
  <si>
    <t>24.10.2016.
1 godina
2.1.1.-16/1000-1</t>
  </si>
  <si>
    <t>257, 259, 261, 263, 267, 283, 287, 289, 292</t>
  </si>
  <si>
    <t>26.10.2016.
1 godina
2.1.1.-16/1001-1</t>
  </si>
  <si>
    <t>254, 255, 256, 277, 278, 281, 284, 288</t>
  </si>
  <si>
    <t>07.10.2016.
1 godina
2.1.1.-16/796-1</t>
  </si>
  <si>
    <t>84, 85, 92, 93, 98, 100, 102, 104, 105, 111, 112, 115</t>
  </si>
  <si>
    <t>19.10.2016.
1 godina
2.1.1.-16/797-1</t>
  </si>
  <si>
    <t>24.10.2016.
1 godina
2.1.1.-16/869-1</t>
  </si>
  <si>
    <t>12.10.2016.
1 godina
2.1.1.-16/871-1</t>
  </si>
  <si>
    <t>21.11.2016.
1 godina
2.1.1.-16/1097-1</t>
  </si>
  <si>
    <t>7, 14, 17, 18, 21</t>
  </si>
  <si>
    <t>22.11.2016.
1 godina
2.1.1.-16/1095-1</t>
  </si>
  <si>
    <t>2, 5, 6, 8, 10, 11, 13, 15, 20, 22, 24, 28, 34, 35</t>
  </si>
  <si>
    <t>22.11.2016.
1 godina
2.1.1.-16/1096-1</t>
  </si>
  <si>
    <t>171, 172, 173, 175, 176, 187, 192, 193, 194, 195, 197, 201, 204, 205</t>
  </si>
  <si>
    <t>02.11.2016.
1 godina
2.1.1.-16/1008-1</t>
  </si>
  <si>
    <t>02.11.2016.
1 godina
2.1.1.-16/1011-1</t>
  </si>
  <si>
    <t>167, 178, 179, 180, 181, 182, 184, 185, 186, 199</t>
  </si>
  <si>
    <t>342, 360, 361, 366</t>
  </si>
  <si>
    <t>24.10.2016.
1 godina
2.1.1.-16/986-1</t>
  </si>
  <si>
    <t>24.10.2016.
1 godina
2.1.1.-16/989-1</t>
  </si>
  <si>
    <t>26.10.2016.
1 godina
2.1.1.-16/988-1</t>
  </si>
  <si>
    <t>09.11.2016.
1 godina
2.1.1.-16/987-1</t>
  </si>
  <si>
    <t>339, 340, 356, 357, 358, 359, 365, 368, 369, 370, 371, 373, 374, 376, 377</t>
  </si>
  <si>
    <t>24.10.2016.
1 godina
2.1.1.-16/985-1</t>
  </si>
  <si>
    <t>258, 268, 269, 272, 273, 274, 282</t>
  </si>
  <si>
    <t>27.10.2016.
1 godina
2.1.1.-16/1000-1</t>
  </si>
  <si>
    <t>259, 261, 263, 267, 283, 287, 289</t>
  </si>
  <si>
    <t>28.10.2016.
1 godina
2.1.1.-16/1001-1</t>
  </si>
  <si>
    <t>09.11.2016.
1 godina
2.1.1.-16/999-1</t>
  </si>
  <si>
    <t>28.10.2016.
1 godina
2.1.1.-16/998-1</t>
  </si>
  <si>
    <t>254, 277, 281, 284</t>
  </si>
  <si>
    <t>27.10.2016.
1 godina
2.1.1.-16/997-1</t>
  </si>
  <si>
    <t>07.11.2016.
1 godina
2.1.1.-16/1021-1</t>
  </si>
  <si>
    <t>233, 236, 237, 240, 245</t>
  </si>
  <si>
    <t>15.11.2016.
1 godina
2.1.1.-16/1018-1</t>
  </si>
  <si>
    <t>16.11.2016.
1 godina
2.1.1.-16/1020-1</t>
  </si>
  <si>
    <t>333, 334, 335</t>
  </si>
  <si>
    <t>25.11.2016.
1 godina
2.1.1.-16/1051-1</t>
  </si>
  <si>
    <t>09.11.2016.
1 godina
2.1.1.-16/1050-1</t>
  </si>
  <si>
    <t>297, 298, 311, 315, 316, 322, 324, 336</t>
  </si>
  <si>
    <t>16.11.2016.
1 godina
2.1.1.-16/1049-1</t>
  </si>
  <si>
    <t>21.11.2016.
1 godina
2.1.1.-16/1051-1</t>
  </si>
  <si>
    <t>15.11.2016.
1 godina
2.1.1.-16/1052-1</t>
  </si>
  <si>
    <t>24.10.2016.
1 godina
2.1.1.-16/794-1</t>
  </si>
  <si>
    <t>24.10.2016.
1 godina
2.1.1.-16/793-1</t>
  </si>
  <si>
    <t>27.10.2016.
1 godina
2.1.1.-16/792-1</t>
  </si>
  <si>
    <t>26.10.2016.
1 godina
2.1.1.-16/795-1</t>
  </si>
  <si>
    <t>140, 158, 159</t>
  </si>
  <si>
    <t>10.10.2016.
1 godina
2.1.1.-16/871-1</t>
  </si>
  <si>
    <t xml:space="preserve">142, 143 </t>
  </si>
  <si>
    <t>10.10.2016.
1 godina
2.1.1.-16/872-1</t>
  </si>
  <si>
    <t>126, 127, 128, 132, 133, 144, 148, 155, 157</t>
  </si>
  <si>
    <t>10.10.2016.
1 godina
2.1.1.-16/870-1</t>
  </si>
  <si>
    <t>10.10.2016.
1 godina
2.1.1.-16/869-1</t>
  </si>
  <si>
    <t>05.10.2016.
1 godina
2.1.1.-16/799-1</t>
  </si>
  <si>
    <t>05.10.2016.
1 godina
2.1.1.-16/798-1</t>
  </si>
  <si>
    <t>86, 89, 95, 96, 97, 99, 101, 106, 108, 117, 118, 119, 120, 121, 122, 123</t>
  </si>
  <si>
    <t>05.10.2016.
1 godina
2.1.1.-16/796-1</t>
  </si>
  <si>
    <t>10.11.2016.
1 godina
2.1.1.-16/798-1</t>
  </si>
  <si>
    <t>11.11.2016.
1 godina
2.1.1.-16/799-1</t>
  </si>
  <si>
    <t>11.11.2016.
1 godina
2.1.1.-16/796-1</t>
  </si>
  <si>
    <t>11.11.2016.
1 godina
2.1.1.-16/797-1</t>
  </si>
  <si>
    <t>14.11.2016.
1 godina
2.1.1.-16/986-1</t>
  </si>
  <si>
    <t>351, 352, 354</t>
  </si>
  <si>
    <t>11.11.2016.
1 godina
2.1.1.-16/987-1</t>
  </si>
  <si>
    <t>339, 340, 346, 356, 357, 358, 359, 365, 368, 369, 370, 371, 373, 374, 376, 377</t>
  </si>
  <si>
    <t>14.11.2016.
1 godina
2.1.1.-16/985-1</t>
  </si>
  <si>
    <t>11.11.2016.
1 godina
2.1.1.-16/989-1</t>
  </si>
  <si>
    <t>18.11.2016.
1 godina
2.1.1.-16/1000-1</t>
  </si>
  <si>
    <t>254, 255, 256, 277, 281, 284, 288</t>
  </si>
  <si>
    <t>18.11.2016.
1 godina
2.1.1.-16/997-1</t>
  </si>
  <si>
    <t>257, 259, 261, 267, 283, 287, 289, 292</t>
  </si>
  <si>
    <t>14.11.2016.
1 godina
2.1.1.-16/1001-1</t>
  </si>
  <si>
    <t>12.10.2016.
1 godina
2.1.1.-16/1020-1</t>
  </si>
  <si>
    <t>06.10.2016.
1 godina
2.1.1.-16/1021-1</t>
  </si>
  <si>
    <t>236, 240, 245</t>
  </si>
  <si>
    <t>07.10.2016.
1 godina
2.1.1.-16/1019-1</t>
  </si>
  <si>
    <t>238, 244, 251, 252</t>
  </si>
  <si>
    <t>06.10.2016.
1 godina
2.1.1.-16/1018-1</t>
  </si>
  <si>
    <t>07.11.2016.
1 godina
2.1.1.-16/989-1</t>
  </si>
  <si>
    <t>261, 267, 283, 287, 289</t>
  </si>
  <si>
    <t>20.07.2016.
1 godina
2.1.1.-16/583-1</t>
  </si>
  <si>
    <t>1, 20, 21, 33, 42, 53</t>
  </si>
  <si>
    <t>18.10.2016.
1 godina
2.1.1.-16/1002-1</t>
  </si>
  <si>
    <t>235, 236, 237, 245, 171, 173, 176, 187, 189, 192, 194, 195, 201, 202, 257, 283, 287, 289, 292, 294, 295, 296, 323, 325</t>
  </si>
  <si>
    <t>01.12.2016.
1 godina
2.1.1.-16/1001-1008-1019-1048-1</t>
  </si>
  <si>
    <t>342, 343, 360, 361, 362, 379, 250, 191, 198, 258, 268, 269, 270, 272, 273, 274, 275, 288, 291, 302, 307, 308, 326, 327</t>
  </si>
  <si>
    <t>01.12.2016.
1 godina
2.1.1.-16/986-1000-1009-1021-1050-1</t>
  </si>
  <si>
    <t>339, 340, 346, 357, 356, 358, 359, 370, 371, 373, 374, 185, 186, 199, 254, 255, 256, 277, 281, 284, 288, 297, 298, 311, 376, 238, 243, 244, 251, 252, 167, 178, 179, 180, 181, 182, 184, 315, 316, 324, 336</t>
  </si>
  <si>
    <t>01.12.2016.
1 godina
2.1.1.-16/985-997-1007-1018-1049-1</t>
  </si>
  <si>
    <t>351, 352, 279, 285, 286, 309, 310, 317, 318, 319, 333, 334, 335</t>
  </si>
  <si>
    <t>01.12.2016.
1 godina
2.1.1.-16/987-999-1051-1</t>
  </si>
  <si>
    <t>338, 196, 265</t>
  </si>
  <si>
    <t>01.12.2016.
1 godina
2.1.1.-16/988-998-1011-1</t>
  </si>
  <si>
    <t>351, 203, 303, 304, 305, 306, 312</t>
  </si>
  <si>
    <t>01.12.2016.
1 godina
2.1.1.-16/989-1012-1052-1</t>
  </si>
  <si>
    <t>04.11.2016.
1 godina
2.1.1.-16/1007-1</t>
  </si>
  <si>
    <t>171, 172, 173, 175, 176, 187, 188, 189, 192, 193, 194, 195, 197, 201, 202, 204, 205, 209</t>
  </si>
  <si>
    <t>25.10.2016.
1 godina
2.1.1.-16/1008-1</t>
  </si>
  <si>
    <t>14.11.2016.
1 godina
2.1.1.-16/1010-1</t>
  </si>
  <si>
    <t>25.10.2016.
1 godina
2.1.1.-16/1011-1</t>
  </si>
  <si>
    <t>25.10.2016.
1 godina
2.1.1.-16/1012-1</t>
  </si>
  <si>
    <t>380, 381, 382, 383, 385, 387, 388, 392, 400, 401, 406, 408, 409, 418, 419, 420, 421, 424, 426, 427</t>
  </si>
  <si>
    <t>24.10.2016.
1 godina
2.1.1.-16/781-1</t>
  </si>
  <si>
    <t>27.10.2016.
1 godina
2.1.1.-16/782-1</t>
  </si>
  <si>
    <t>389, 390, 391, 395, 396, 403, 404, 405, 413, 414, 425</t>
  </si>
  <si>
    <t>24.10.2016.
1 godina
2.1.1.-16/783-1</t>
  </si>
  <si>
    <t>27.10.2016.
1 godina
2.1.1.-16/869-1</t>
  </si>
  <si>
    <t>24.10.2016.
1 godina
2.1.1.-16/870-1</t>
  </si>
  <si>
    <t>24.10.2016.
1 godina
2.1.1.-16/868-1</t>
  </si>
  <si>
    <t>26.10.2016.
1 godina
2.1.1.-16/872-1</t>
  </si>
  <si>
    <t>24.10.2016.
1 godina
2.1.1.-16/790-1</t>
  </si>
  <si>
    <t>27.10.2016.
1 godina
2.1.1.-16/788-1</t>
  </si>
  <si>
    <t>24.10.2016.
1 godina
2.1.1.-16/785-1</t>
  </si>
  <si>
    <t>26.10.2016.
1 godina
2.1.1.-16/786-1</t>
  </si>
  <si>
    <t>24.10.2016.
1 godina
2.1.1.-16/797-1</t>
  </si>
  <si>
    <t>24.10.2016.
1 godina
2.1.1.-16/796-1</t>
  </si>
  <si>
    <t>27.10.2016.
1 godina
2.1.1.-16/799-1</t>
  </si>
  <si>
    <t>OPĆA BOLNICA DUBROVNIK</t>
  </si>
  <si>
    <t>29.08.2016.
1 godina
2.1.1.-16/583-1</t>
  </si>
  <si>
    <t>07.11.2016.
1 godina
2.1.1.-16/1002-1</t>
  </si>
  <si>
    <t>4, 9, 16, 17, 35, 49</t>
  </si>
  <si>
    <t>29.08.2016.
1 godina
2.1.1.-16/582-1</t>
  </si>
  <si>
    <t>8, 11, 13</t>
  </si>
  <si>
    <t>29.08.2016.
1 godina
2.1.1.-16/581-1</t>
  </si>
  <si>
    <t>406, 426</t>
  </si>
  <si>
    <t>22.12.</t>
  </si>
  <si>
    <t>22.12.2016.
1 godina
2.1.1.-16/781-1</t>
  </si>
  <si>
    <t>52, 53, 54, 59, 60, 63, 64, 82</t>
  </si>
  <si>
    <t>29.12.</t>
  </si>
  <si>
    <t>29.12.2016.
1 godina
2.1.1.-16/790-1</t>
  </si>
  <si>
    <t>07.11.2016.
1 godina
2.1.1.-16/997-1</t>
  </si>
  <si>
    <t>02.11.2016.
1 godina
2.1.1.-16/1000-1</t>
  </si>
  <si>
    <t>258, 268,  269, 270, 272, 273, 274, 275, 276, 282, 291</t>
  </si>
  <si>
    <t>14.12.</t>
  </si>
  <si>
    <t>14.12.2016.
1 godina
2.1.1.-16/1000-1</t>
  </si>
  <si>
    <t>15.12.</t>
  </si>
  <si>
    <t>15.12.2016.
1 godina
2.1.1.-16/999-1</t>
  </si>
  <si>
    <t>257, 259, 261, 267, 283, 287, 289, 282</t>
  </si>
  <si>
    <t>16.12.</t>
  </si>
  <si>
    <t>16.12.2016.
1 godina
2.1.1.-16/1001-1</t>
  </si>
  <si>
    <t>254, 255, 277, 281, 288</t>
  </si>
  <si>
    <t>20.12.</t>
  </si>
  <si>
    <t>20.12.2016.
1 godina
2.1.1.-16/997-1</t>
  </si>
  <si>
    <t>27.12.</t>
  </si>
  <si>
    <t>27.12.2016.
1 godina
2.1.1.-16/998-1</t>
  </si>
  <si>
    <t>25.10.2016.
1 godina
2.1.1.-16/988-1</t>
  </si>
  <si>
    <t>07.11.2016.
1 godina
2.1.1.-16/985-1</t>
  </si>
  <si>
    <t>25.10.2016.
1 godina
2.1.1.-16/989-1</t>
  </si>
  <si>
    <t>02.11.2016.
1 godina
2.1.1.-16/986-1</t>
  </si>
  <si>
    <t>14.12.2016.
1 godina
2.1.1.-16/986-1</t>
  </si>
  <si>
    <t>354, 355</t>
  </si>
  <si>
    <t>15.12.2016.
1 godina
2.1.1.-16/987-1</t>
  </si>
  <si>
    <t>339, 340, 356, 357, 358, 359, 365, 368, 369, 370, 371, 373, 374, 376</t>
  </si>
  <si>
    <t>20.12.2016.
1 godina
2.1.1.-16/985-1</t>
  </si>
  <si>
    <t>27.12.2016.
1 godina
2.1.1.-16/988-1</t>
  </si>
  <si>
    <t>27.12.2016.
1 godina
2.1.1.-16/989-1</t>
  </si>
  <si>
    <t>Ugovor za nabavu potrošnog materijala za uzimanje i pohranu muskuloskeletnog tkiva gr. I</t>
  </si>
  <si>
    <t>27.12.2016.
2.1.1.-16/1399-1</t>
  </si>
  <si>
    <t>30.12.2016.
1 godina
2.1.1.-16/1410-4</t>
  </si>
  <si>
    <t>Ugovor za nabavu medicinskog potrošnog materijala za potrebe kardijalne kirurgije - transplatacija GR II</t>
  </si>
  <si>
    <t>2016/S 002-0023183</t>
  </si>
  <si>
    <t>20.12.2016.
2.1.1.-16/1385-1
(1 GODINA)</t>
  </si>
  <si>
    <t>20.12.2017.</t>
  </si>
  <si>
    <t>07.11.2016.
1 godina
2.1.1.-16/1022-1</t>
  </si>
  <si>
    <t>211, 212, 214, 216, 219, 228, 232, 238, 239, 241, 243, 244, 251, 252</t>
  </si>
  <si>
    <t>03.11.2016.
1 godina
2.1.1.-16/1018-1</t>
  </si>
  <si>
    <t>14.11.2016.
1 godina
2.1.1.-16/1020-1</t>
  </si>
  <si>
    <t>02.11.2016.
1 godina
2.1.1.-16/1021-1</t>
  </si>
  <si>
    <t>19.12.</t>
  </si>
  <si>
    <t>19.12.2016.
1 godina
2.1.1.-16/1022-1</t>
  </si>
  <si>
    <t>14.12.2016.
1 godina
2.1.1.-16/1021-1</t>
  </si>
  <si>
    <t>213, 215, 235, 236, 237, 240, 245</t>
  </si>
  <si>
    <t>16.12.2016.
1 godina
2.1.1.-16/1019-1</t>
  </si>
  <si>
    <t>211, 212, 216, 219, 228, 232, 238, 239, 241, 243, 244, 251, 252</t>
  </si>
  <si>
    <t>20.12.2016.
1 godina
2.1.1.-16/1018-1</t>
  </si>
  <si>
    <t>218, 221, 223, 230, 231</t>
  </si>
  <si>
    <t>15.12.2016.
1 godina
2.1.1.-16/1020-1</t>
  </si>
  <si>
    <t>20.12.2016.
1 godina
2.1.1.-16/1049-1</t>
  </si>
  <si>
    <t>27.12.2016.
1 godina
2.1.1.-16/1052-1</t>
  </si>
  <si>
    <t>302, 307, 308, 326, 327, 328, 329</t>
  </si>
  <si>
    <t>14.12.2016.
1 godina
2.1.1.-16/1050-1</t>
  </si>
  <si>
    <t>15.12.2016.
1 godina
2.1.1.-16/1051-1</t>
  </si>
  <si>
    <t>294, 295, 323, 325</t>
  </si>
  <si>
    <t>15.12.2016.
1 godina
2.1.1.-16/1048-1</t>
  </si>
  <si>
    <t xml:space="preserve">4, 10, 14, 16 </t>
  </si>
  <si>
    <t xml:space="preserve">11, 13 </t>
  </si>
  <si>
    <t>29.09.2016.
1 godina
2.1.1.-16/581-1</t>
  </si>
  <si>
    <t>23.09.2016.
1 godina
2.1.1.-16/579-1</t>
  </si>
  <si>
    <t>29.09.2016.
1 godina
2.1.1.-16/578-1</t>
  </si>
  <si>
    <t>04.10.2016.
1 godina
2.1.1.-16/583-1</t>
  </si>
  <si>
    <t>OPĆA BOLNICA KARLOVAC</t>
  </si>
  <si>
    <t>2, 6, 8, 11</t>
  </si>
  <si>
    <t>28.11.2016.
1 godina
2.1.1.-16/1096-1</t>
  </si>
  <si>
    <t>SPECIJALNA BOLNICA ZA PLUĆNE BOLESTI</t>
  </si>
  <si>
    <t>01.12.2016.
1 godina
2.1.1.-16/795-1</t>
  </si>
  <si>
    <t>01.12.2016.
1 godina
2.1.1.-16/794-1</t>
  </si>
  <si>
    <t>01.12.2016.
1 godina
2.1.1.-16/791-1</t>
  </si>
  <si>
    <t>01.12.2016.
1 godina
2.1.1.-16/785-1</t>
  </si>
  <si>
    <t>01.12.2016.
1 godina
2.1.1.-16/787-1</t>
  </si>
  <si>
    <t>01.12.2016.
1 godina
2.1.1.-16/796-1</t>
  </si>
  <si>
    <t>01.12.2016.
1 godina
2.1.1.-16/798-1</t>
  </si>
  <si>
    <t>01.12.2016.
1 godina
2.1.1.-16/870-1</t>
  </si>
  <si>
    <t>01.12.2016.
1 godina
2.1.1.-16/873-1</t>
  </si>
  <si>
    <t>01.12.2016.
1 godina
2.1.1.-16/1011-1</t>
  </si>
  <si>
    <t>01.12.2016.
1 godina
2.1.1.-16/1009-1</t>
  </si>
  <si>
    <t>01.12.2016.
1 godina
2.1.1.-16/1008-1</t>
  </si>
  <si>
    <t>01.12.2016.
1 godina
2.1.1.-16/1021-1</t>
  </si>
  <si>
    <t>01.12.2016.
1 godina
2.1.1.-16/998-1</t>
  </si>
  <si>
    <t>01.12.2016.
1 godina
2.1.1.-16/1000-1</t>
  </si>
  <si>
    <t>01.12.2016.
1 godina
2.1.1.-16/1001-1</t>
  </si>
  <si>
    <t>01.12.2016.
1 godina
2.1.1.-16/1050-1</t>
  </si>
  <si>
    <t>294, 295, 296, 323, 315</t>
  </si>
  <si>
    <t>01.12.2016.
1 godina
2.1.1.-16/988-1</t>
  </si>
  <si>
    <t>01.12.2016.
1 godina
2.1.1.-16/986-1</t>
  </si>
  <si>
    <t>01.12.2016.
1 godina
2.1.1.-16/989-1</t>
  </si>
  <si>
    <t>01.12.2016.
1 godina
2.1.1.-16/783-1</t>
  </si>
  <si>
    <t>01.12.2016.
1 godina
2.1.1.-16/784-1</t>
  </si>
  <si>
    <t>Jednogodišnja nabava medicinskog potrošnog materijala za uporabu u ortopediji - ortopedski impantati, gr. 21</t>
  </si>
  <si>
    <t>2016/S 002-0016459</t>
  </si>
  <si>
    <t>ARTHREX ADRIA d.o.o.</t>
  </si>
  <si>
    <t>02.01.2018.</t>
  </si>
  <si>
    <t>02.01.2017.
2.1.1.-16/1437-16
(1 GODINA)</t>
  </si>
  <si>
    <t>Ugovor za jednogodišnju nabavu medicinskog potrošnog materijala za hemodijalizu - 3 - gr. 1</t>
  </si>
  <si>
    <t>31.12.2016.
2.1.1.-16/1420-1
(1 GODINA)</t>
  </si>
  <si>
    <t>31.12.2017.</t>
  </si>
  <si>
    <t>28.11.2016.
1 godina
2.1.1.-16/986-1</t>
  </si>
  <si>
    <t>30.11.2016.
1 godina
2.1.1.-16/988-1</t>
  </si>
  <si>
    <t>05.12.2016.
1 godina
2.1.1.-16/987-1</t>
  </si>
  <si>
    <t>07.12.</t>
  </si>
  <si>
    <t>07.12.2016.
1 godina
2.1.1.-16/985-1</t>
  </si>
  <si>
    <t>28.11.2016.
1 godina
2.1.1.-16/1050-1</t>
  </si>
  <si>
    <t>303, 304, 312</t>
  </si>
  <si>
    <t>297, 298,311, 315, 316, 322, 324, 336</t>
  </si>
  <si>
    <t>07.12.2016.
1 godina
2.1.1.-16/1049-1</t>
  </si>
  <si>
    <t>268,  269, 270, 272, 273, 274, 275, 276, 282, 291</t>
  </si>
  <si>
    <t>28.11.2016.
1 godina
2.1.1.-16/1000-1</t>
  </si>
  <si>
    <t>30.11.2016.
1 godina
2.1.1.-16/998-1</t>
  </si>
  <si>
    <t>05.12.2016.
1 godina
2.1.1.-16/999-1</t>
  </si>
  <si>
    <t>07.12.2016.
1 godina
2.1.1.-16/997-1</t>
  </si>
  <si>
    <t>28.11.2016.
1 godina
2.1.1.-16/1021-1</t>
  </si>
  <si>
    <t>213, 224, 229, 233, 235, 237, 240, 245</t>
  </si>
  <si>
    <t>01.12.2016.
1 godina
2.1.1.-16/1019-1</t>
  </si>
  <si>
    <t>30.11.2016.
1 godina
2.1.1.-16/1022-1</t>
  </si>
  <si>
    <t>05.12.2016.
1 godina
2.1.1.-16/1020-1</t>
  </si>
  <si>
    <t>212, 214, 228, 232, 238, 241, 243, 251, 252</t>
  </si>
  <si>
    <t>28.11.2016.
1 godina
2.1.1.-16/1009-1</t>
  </si>
  <si>
    <t>01.12.2016.
1 godina
2.1.1.-16/1012-1</t>
  </si>
  <si>
    <t>07.12.2016.
1 godina
2.1.1.-16/1007-1</t>
  </si>
  <si>
    <t>12.12.2016.
1 godina
2.1.1.-16/1010-1</t>
  </si>
  <si>
    <t>30.11.2016.
1 godina
2.1.1.-16/1011-1</t>
  </si>
  <si>
    <t>18.11.2016.
1 godina
2.1.1.-16/870-1</t>
  </si>
  <si>
    <t>23.11.2016.
1 godina
2.1.1.-16/871-1</t>
  </si>
  <si>
    <t>21.11.2016.
1 godina
2.1.1.-16/872-1</t>
  </si>
  <si>
    <t>24.11.2016.
1 godina
2.1.1.-16/868-1</t>
  </si>
  <si>
    <t>17.11.2016.
1 godina
2.1.1.-16/873-1</t>
  </si>
  <si>
    <t>05.12.2016.
1 godina
2.1.1.-16/869-1</t>
  </si>
  <si>
    <t>18.11.2016.
1 godina
2.1.1.-16/796-1</t>
  </si>
  <si>
    <t>23.11.2016.
1 godina
2.1.1.-16/798-1</t>
  </si>
  <si>
    <t>84, 85, 93, 98, 100, 104, 105, 111, 112, 115</t>
  </si>
  <si>
    <t>24.11.2016.
1 godina
2.1.1.-16/797-1</t>
  </si>
  <si>
    <t>05.12.2016.
1 godina
2.1.1.-16/799-1</t>
  </si>
  <si>
    <t>08.12.2016.
1 godina
2.1.1.-16/1027-1</t>
  </si>
  <si>
    <t>08.12.2016.
1 godina
1.1.2.-16/1024-1</t>
  </si>
  <si>
    <t>07.12.2016.
1 godina
2.1.1.-16/1026-1</t>
  </si>
  <si>
    <t>05.12.2016.
1 godina
2.1.1.-16/1025-1</t>
  </si>
  <si>
    <t>38, 62</t>
  </si>
  <si>
    <t>14.12.2016.
1 godina
2.1.1.-16/1023-1</t>
  </si>
  <si>
    <t>09.12.</t>
  </si>
  <si>
    <t>09.12.2016.
1 godina
2.1.1.-16/1064-1</t>
  </si>
  <si>
    <t>1, 20, 21, 33, 42</t>
  </si>
  <si>
    <t>27.10.2016.
1 godina
2.1.1.-16/1002-1</t>
  </si>
  <si>
    <t>2, 5, 6, 8, 10, 11, 20, 24</t>
  </si>
  <si>
    <t>20.12.2016.
1 godina
2.1.1.-16/1096-1</t>
  </si>
  <si>
    <t>Ugovor za nabavu potrošnog materijala za uzimanje i pohranu muskuloskeletnog tkiva gr. III</t>
  </si>
  <si>
    <t>27.12.2016.
2.1.1.-16/1418-1</t>
  </si>
  <si>
    <t>30.11.2016.
1 godina
2.1.1.-16/1095-1</t>
  </si>
  <si>
    <t>2, 5, 6, 8, 10, 11, 13, 15, 20, 22, 24, 26, 28, 31, 33, 34, 35, 37, 38</t>
  </si>
  <si>
    <t>30.11.2016.
1 godina
2.1.1.-16/1096-1</t>
  </si>
  <si>
    <t>30.11.2016.
1 godina
2.1.1.-16/1097-1</t>
  </si>
  <si>
    <t>23.11.2016.
1 godina
2.1.1. -16/944-1</t>
  </si>
  <si>
    <t>23.11.2016.
1 godina
2.1.1. -16/942-1</t>
  </si>
  <si>
    <t>29.11.2016.
1 godina
2.1.1. -16/941-1</t>
  </si>
  <si>
    <t>25.11.2016.
1 godina
1.1.2.-16/1024-1</t>
  </si>
  <si>
    <t>28.11.2016.
1 godina
2.1.1.-16/1027-1</t>
  </si>
  <si>
    <t>91, 92, 93, 100, 104, 106</t>
  </si>
  <si>
    <t>14.12.2016.
1 godina
2.1.1.-16/1068-1</t>
  </si>
  <si>
    <t>23.12.2016.
1 godina
2.1.1.-16/1004-1</t>
  </si>
  <si>
    <t>UGRADBENI I POTROŠNI MATERIJAL ZA NEUROKIRURGIJU - I-1, I-2</t>
  </si>
  <si>
    <t>1, 5, 14, 18, 19, 23, 26, 28, 35, 38, 61, 62</t>
  </si>
  <si>
    <t>21.11.2016.
1 godina
2.1.1. -16/940-1 i 2.1.1.-16/1023-1</t>
  </si>
  <si>
    <t>1.1.2.A.153 1.1.2.A.152</t>
  </si>
  <si>
    <t>32, 60</t>
  </si>
  <si>
    <t>09.12.2016.
1 godina
2.1.1. -16/943-1 i 2.1.1.-16/1026-1</t>
  </si>
  <si>
    <t>2015/S 002-0030670</t>
  </si>
  <si>
    <t>1.1.2.A.111</t>
  </si>
  <si>
    <t>2016/S 002-0009773</t>
  </si>
  <si>
    <t>2016/S 002-0018762</t>
  </si>
  <si>
    <t>2016/S 002-0018191</t>
  </si>
  <si>
    <t>2016/S 002-0012730</t>
  </si>
  <si>
    <t>2016/S 002-0025356</t>
  </si>
  <si>
    <t>2016/S 002-0015491</t>
  </si>
  <si>
    <t>14.07.2017.</t>
  </si>
  <si>
    <t>2.2.2.A.1</t>
  </si>
  <si>
    <t>1.1.2.A.128</t>
  </si>
  <si>
    <t>2.2.2.B/134</t>
  </si>
  <si>
    <t>28.12.2016
2.1.1.-16/1412-1
(1 godina)</t>
  </si>
  <si>
    <t>Ugovor za nabavu popravka RTG uređaja proizvođača Shimadzu za potrebe Klinike za ortopediju</t>
  </si>
  <si>
    <t>30.12.2016.
1 godina
2.1.1.-16/1409-4</t>
  </si>
  <si>
    <t>30.12.2016.
1 godina
2.1.1.-16/1410-3</t>
  </si>
  <si>
    <t>BRAUCO d.o.o.</t>
  </si>
  <si>
    <t>PODRAVKA d.d.</t>
  </si>
  <si>
    <t>1.2.2017.</t>
  </si>
  <si>
    <t>19.4.2016.</t>
  </si>
  <si>
    <t>Jednogodišnja usluga čišćenja odvodnih kanala na lokacijama KBC-a Zagreb</t>
  </si>
  <si>
    <t>4.6.2016.</t>
  </si>
  <si>
    <t>11.12.2016.</t>
  </si>
  <si>
    <t>OP</t>
  </si>
  <si>
    <t>REGISTAR OKVIRNIH SPORAZUMA  2016. godina</t>
  </si>
  <si>
    <t>LIJEKOVI GENERIČKE PARALELE X</t>
  </si>
  <si>
    <t xml:space="preserve">LIJEKOVI GENERIČKE PARALELE </t>
  </si>
  <si>
    <t>LIJEKOVI GENERIČKE PARALELE I</t>
  </si>
  <si>
    <t>LIJEKOVI GENERIČKE PARALELE VII</t>
  </si>
  <si>
    <t>LIJEKOVI GENERIČKE PARALELE IX</t>
  </si>
  <si>
    <t>LIJEKOVI GENERIČKE PARALELE V</t>
  </si>
  <si>
    <t>LIJEKOVI GENERIČKE PARALELE VI</t>
  </si>
  <si>
    <t>ELEKTROSTIMULATORI SRCA</t>
  </si>
  <si>
    <t>LIJEKOVI GENERIČKE PARALELE VIII</t>
  </si>
  <si>
    <t>GRUPE PREDMETA NABAVE</t>
  </si>
  <si>
    <t>DATUM POTPISA UGOVORA</t>
  </si>
  <si>
    <t>BROJ OKVIRNOG SPORAZUMA</t>
  </si>
  <si>
    <t>REGISTAR UGOVORA I OKVIRNIH SPORAZUMA O ZAJEDNIČKOJ JAVNOJ NABAVI</t>
  </si>
  <si>
    <t>31.11.2016.</t>
  </si>
  <si>
    <t>23.5.2017.</t>
  </si>
  <si>
    <t>7.6.2017.</t>
  </si>
  <si>
    <t>8.6.2017.</t>
  </si>
  <si>
    <t>REGISTAR  UGOVORA O NABAVI 2016. - MEDICINA I NEMEDICINA - BAGATELNA NABAVA</t>
  </si>
  <si>
    <t>2.7.B.29</t>
  </si>
  <si>
    <t>8.8.2017.</t>
  </si>
  <si>
    <t>21.7.2017.</t>
  </si>
  <si>
    <t>20.1.2017.</t>
  </si>
  <si>
    <t>2.8.2017.</t>
  </si>
  <si>
    <t>9.8.2017.</t>
  </si>
  <si>
    <t>1.8.2017.</t>
  </si>
  <si>
    <t>20.7.2017.</t>
  </si>
  <si>
    <t>28.7.2017.</t>
  </si>
  <si>
    <t>19.8.2017.</t>
  </si>
  <si>
    <t>22.8.2017.</t>
  </si>
  <si>
    <t>10.8.2017.</t>
  </si>
  <si>
    <t>14.7.2017.</t>
  </si>
  <si>
    <t>17.6.2017.</t>
  </si>
  <si>
    <t>13.7.2017.</t>
  </si>
  <si>
    <t>1.7.2017.</t>
  </si>
  <si>
    <t>5.7.2017.</t>
  </si>
  <si>
    <t>10.7.2017.</t>
  </si>
  <si>
    <t>11.7.2017.</t>
  </si>
  <si>
    <t>2.6.2017.</t>
  </si>
  <si>
    <t>13.6.2017.</t>
  </si>
  <si>
    <t>20.6.2017.</t>
  </si>
  <si>
    <t>16.6.2017.</t>
  </si>
  <si>
    <t>31.5.2017.</t>
  </si>
  <si>
    <t>17.5.2017.</t>
  </si>
  <si>
    <t>25.4.2017.</t>
  </si>
  <si>
    <t>3.2.2017.</t>
  </si>
  <si>
    <t>19.2.2016.</t>
  </si>
  <si>
    <t>10.5.2016.</t>
  </si>
  <si>
    <t>25.5.2016.</t>
  </si>
  <si>
    <t>2.9.6.A.1</t>
  </si>
  <si>
    <t>Pregovarački postupak</t>
  </si>
  <si>
    <t>Otvoreni postupak</t>
  </si>
  <si>
    <t>2015/ 002-0036440</t>
  </si>
  <si>
    <t>2015/S 002-0039063</t>
  </si>
  <si>
    <t>2015/S 002-0037838</t>
  </si>
  <si>
    <t>2015/S 002-0037813</t>
  </si>
  <si>
    <t>2014/S 002-0059607</t>
  </si>
  <si>
    <t>2016/S 002-0005759</t>
  </si>
  <si>
    <t>2016/S 002-0006881</t>
  </si>
  <si>
    <t>2016/S 003-0025916</t>
  </si>
  <si>
    <t>2014/S002-0057140</t>
  </si>
  <si>
    <t>2016/S 003-0024041</t>
  </si>
  <si>
    <t>1.1.2.A.44
2015/S 002-0037821</t>
  </si>
  <si>
    <t>1.1.2.A.36
2016/S 014-0006505</t>
  </si>
  <si>
    <t>1.1.2.A.172
2016/S 014-0010465</t>
  </si>
  <si>
    <t>2016/S 002-0001044</t>
  </si>
  <si>
    <t>2016/S 002-0000710</t>
  </si>
  <si>
    <t>2016/S 003-0020428</t>
  </si>
  <si>
    <t>1.1.2.A.76
2015/S 002-0032633</t>
  </si>
  <si>
    <t>1.1.2.A.156
2016/S 014-0003790</t>
  </si>
  <si>
    <t>1.1.2.A.94
2016/S 014-0009941</t>
  </si>
  <si>
    <t>1.1.2.A.177
2016/S 003-0019752</t>
  </si>
  <si>
    <t>1.1.2.A.152
2015/S 014-0037104</t>
  </si>
  <si>
    <t>2016/S 002-0001523</t>
  </si>
  <si>
    <t>2016/S 002-0001490</t>
  </si>
  <si>
    <t>2016/S 003-0023507</t>
  </si>
  <si>
    <t>2016/S 003-0022616</t>
  </si>
  <si>
    <t>2016/S 003-0023438</t>
  </si>
  <si>
    <t>2016/S 003-0023430</t>
  </si>
  <si>
    <t>2016/S 003-0022421</t>
  </si>
  <si>
    <t>2016/S 014-0004931</t>
  </si>
  <si>
    <t>2015/S 002-0037821</t>
  </si>
  <si>
    <t>2016/S 014-0004906</t>
  </si>
  <si>
    <t>2016/S 003-0023646</t>
  </si>
  <si>
    <t>2016/S 003-0002179</t>
  </si>
  <si>
    <t>1.1.2.A.55
2015/S 002-0033521</t>
  </si>
  <si>
    <t>1-2015/E-VV</t>
  </si>
  <si>
    <t>2015/S 002-0038195</t>
  </si>
  <si>
    <t>12/16</t>
  </si>
  <si>
    <t>2016/S 002-0005717</t>
  </si>
  <si>
    <t>2015/S 002-0005470</t>
  </si>
  <si>
    <t>138/2015</t>
  </si>
  <si>
    <t>2015/S 002-0038457</t>
  </si>
  <si>
    <t>2015/S 002-0036811</t>
  </si>
  <si>
    <t>2016/S 003-0023253</t>
  </si>
  <si>
    <t>23.12.2016.
2.1.1.-16/1397-1</t>
  </si>
  <si>
    <t>Vrsta provedenog postupka/načina  nabave</t>
  </si>
  <si>
    <t>2016/S 002-0006076</t>
  </si>
  <si>
    <t>2015/S 002-0025904</t>
  </si>
  <si>
    <t>N-02-V-103133-010212</t>
  </si>
  <si>
    <t>2016/S 002-0009478</t>
  </si>
  <si>
    <t>2016/S 002-0006062</t>
  </si>
  <si>
    <t>2016/S 002-0009866</t>
  </si>
  <si>
    <t>2016/S 002-0009666</t>
  </si>
  <si>
    <t>2016/S 002-0009657</t>
  </si>
  <si>
    <t>2016/S 002-0011695</t>
  </si>
  <si>
    <t>2016/S 002-0009453</t>
  </si>
  <si>
    <t>Ugovor po okvirnom sporazumu</t>
  </si>
  <si>
    <t>2016/S 002-0009677</t>
  </si>
  <si>
    <t>2015/S 002-0036723</t>
  </si>
  <si>
    <t>2016/S 002-0017597</t>
  </si>
  <si>
    <t>2016/S 002-0020852</t>
  </si>
  <si>
    <t>2016/S 002-0019049</t>
  </si>
  <si>
    <t>Dodatak II B</t>
  </si>
  <si>
    <t>nema u AX-u</t>
  </si>
  <si>
    <t>6.10.2016.
2.1.1.-16/1004-2
(1 godina)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</si>
</sst>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\ _k_n"/>
    <numFmt numFmtId="165" formatCode="0&quot;.&quot;"/>
    <numFmt numFmtId="166" formatCode="dd/mm/yy/;@"/>
    <numFmt numFmtId="167" formatCode="dd/mm/yyyy"/>
    <numFmt numFmtId="168" formatCode="[$€-2]\ #,##0.00"/>
    <numFmt numFmtId="169" formatCode="#,##0.00;[Red]#,##0.00"/>
  </numFmts>
  <fonts count="29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9"/>
      <color rgb="FF333333"/>
      <name val="Arial"/>
      <family val="2"/>
      <charset val="238"/>
    </font>
    <font>
      <sz val="10"/>
      <color rgb="FFFF0000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theme="0"/>
        <bgColor indexed="23"/>
      </patternFill>
    </fill>
    <fill>
      <patternFill patternType="solid">
        <fgColor theme="0"/>
        <bgColor indexed="26"/>
      </patternFill>
    </fill>
    <fill>
      <patternFill patternType="solid">
        <fgColor theme="0" tint="-4.9989318521683403E-2"/>
        <bgColor indexed="23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23" borderId="7" applyNumberForma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4" fillId="0" borderId="0"/>
    <xf numFmtId="0" fontId="14" fillId="0" borderId="0"/>
    <xf numFmtId="0" fontId="25" fillId="0" borderId="0" applyNumberFormat="0" applyFill="0" applyBorder="0" applyAlignment="0" applyProtection="0"/>
  </cellStyleXfs>
  <cellXfs count="237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Alignment="1">
      <alignment horizontal="center" vertical="center"/>
    </xf>
    <xf numFmtId="4" fontId="0" fillId="0" borderId="10" xfId="0" applyNumberForma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9" fillId="24" borderId="10" xfId="0" applyFont="1" applyFill="1" applyBorder="1" applyAlignment="1">
      <alignment horizontal="center" vertical="center" wrapText="1"/>
    </xf>
    <xf numFmtId="0" fontId="19" fillId="24" borderId="11" xfId="0" applyFont="1" applyFill="1" applyBorder="1" applyAlignment="1">
      <alignment horizontal="center" vertical="center" wrapText="1"/>
    </xf>
    <xf numFmtId="4" fontId="0" fillId="0" borderId="11" xfId="0" applyNumberFormat="1" applyBorder="1" applyAlignment="1">
      <alignment horizontal="center" vertical="center"/>
    </xf>
    <xf numFmtId="4" fontId="0" fillId="0" borderId="0" xfId="0" applyNumberFormat="1"/>
    <xf numFmtId="0" fontId="19" fillId="0" borderId="0" xfId="0" applyFont="1" applyAlignment="1">
      <alignment horizontal="left"/>
    </xf>
    <xf numFmtId="4" fontId="19" fillId="24" borderId="11" xfId="0" applyNumberFormat="1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19" fillId="24" borderId="15" xfId="0" applyFont="1" applyFill="1" applyBorder="1" applyAlignment="1">
      <alignment horizontal="center" vertical="center" wrapText="1"/>
    </xf>
    <xf numFmtId="0" fontId="14" fillId="25" borderId="11" xfId="37" applyFont="1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19" fillId="26" borderId="14" xfId="0" applyFont="1" applyFill="1" applyBorder="1" applyAlignment="1">
      <alignment horizontal="center" vertical="center" wrapText="1"/>
    </xf>
    <xf numFmtId="4" fontId="19" fillId="26" borderId="14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/>
    <xf numFmtId="0" fontId="19" fillId="0" borderId="0" xfId="0" applyFont="1" applyAlignment="1"/>
    <xf numFmtId="165" fontId="0" fillId="0" borderId="11" xfId="0" applyNumberFormat="1" applyBorder="1" applyAlignment="1">
      <alignment horizontal="center" vertical="center"/>
    </xf>
    <xf numFmtId="0" fontId="19" fillId="24" borderId="14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11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0" fillId="0" borderId="16" xfId="0" applyNumberFormat="1" applyFont="1" applyFill="1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4" fontId="0" fillId="0" borderId="18" xfId="0" applyNumberFormat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4" fontId="0" fillId="0" borderId="13" xfId="0" applyNumberForma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25" borderId="11" xfId="0" applyFill="1" applyBorder="1" applyAlignment="1">
      <alignment horizontal="center" vertical="center"/>
    </xf>
    <xf numFmtId="0" fontId="0" fillId="25" borderId="11" xfId="0" applyFill="1" applyBorder="1" applyAlignment="1">
      <alignment horizontal="center" vertical="center" wrapText="1"/>
    </xf>
    <xf numFmtId="4" fontId="0" fillId="25" borderId="11" xfId="0" applyNumberFormat="1" applyFill="1" applyBorder="1" applyAlignment="1">
      <alignment horizontal="center" vertical="center"/>
    </xf>
    <xf numFmtId="14" fontId="0" fillId="25" borderId="11" xfId="0" applyNumberForma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22" fillId="26" borderId="14" xfId="0" applyNumberFormat="1" applyFont="1" applyFill="1" applyBorder="1" applyAlignment="1">
      <alignment horizontal="center" vertical="center" wrapText="1"/>
    </xf>
    <xf numFmtId="0" fontId="17" fillId="27" borderId="2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0" fillId="28" borderId="11" xfId="0" applyFont="1" applyFill="1" applyBorder="1" applyAlignment="1">
      <alignment vertical="center"/>
    </xf>
    <xf numFmtId="0" fontId="0" fillId="28" borderId="11" xfId="0" applyFont="1" applyFill="1" applyBorder="1" applyAlignment="1">
      <alignment horizontal="center" vertical="center" wrapText="1"/>
    </xf>
    <xf numFmtId="0" fontId="17" fillId="27" borderId="22" xfId="0" applyFont="1" applyFill="1" applyBorder="1" applyAlignment="1">
      <alignment horizontal="center" vertical="center"/>
    </xf>
    <xf numFmtId="0" fontId="0" fillId="28" borderId="11" xfId="0" applyFont="1" applyFill="1" applyBorder="1" applyAlignment="1">
      <alignment horizontal="center" vertical="center" wrapText="1"/>
    </xf>
    <xf numFmtId="4" fontId="17" fillId="27" borderId="23" xfId="0" applyNumberFormat="1" applyFont="1" applyFill="1" applyBorder="1" applyAlignment="1">
      <alignment horizontal="center" vertical="center" wrapText="1"/>
    </xf>
    <xf numFmtId="0" fontId="0" fillId="28" borderId="11" xfId="0" applyFont="1" applyFill="1" applyBorder="1" applyAlignment="1">
      <alignment horizontal="center" vertical="center"/>
    </xf>
    <xf numFmtId="167" fontId="0" fillId="28" borderId="11" xfId="0" applyNumberFormat="1" applyFont="1" applyFill="1" applyBorder="1" applyAlignment="1">
      <alignment horizontal="center" vertical="center"/>
    </xf>
    <xf numFmtId="0" fontId="0" fillId="28" borderId="11" xfId="0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horizontal="center" vertical="center"/>
    </xf>
    <xf numFmtId="0" fontId="0" fillId="29" borderId="11" xfId="0" applyFont="1" applyFill="1" applyBorder="1" applyAlignment="1">
      <alignment vertical="center"/>
    </xf>
    <xf numFmtId="4" fontId="0" fillId="0" borderId="24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vertical="center"/>
    </xf>
    <xf numFmtId="4" fontId="0" fillId="25" borderId="11" xfId="0" applyNumberFormat="1" applyFont="1" applyFill="1" applyBorder="1" applyAlignment="1">
      <alignment horizontal="center" vertical="center" wrapText="1"/>
    </xf>
    <xf numFmtId="0" fontId="0" fillId="28" borderId="11" xfId="0" applyFont="1" applyFill="1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28" borderId="16" xfId="0" applyFont="1" applyFill="1" applyBorder="1" applyAlignment="1">
      <alignment vertical="center" wrapText="1"/>
    </xf>
    <xf numFmtId="0" fontId="0" fillId="25" borderId="16" xfId="0" applyFill="1" applyBorder="1" applyAlignment="1">
      <alignment horizontal="center" vertical="center" wrapText="1"/>
    </xf>
    <xf numFmtId="4" fontId="0" fillId="25" borderId="16" xfId="0" applyNumberFormat="1" applyFont="1" applyFill="1" applyBorder="1" applyAlignment="1">
      <alignment horizontal="center" vertical="center" wrapText="1"/>
    </xf>
    <xf numFmtId="0" fontId="0" fillId="31" borderId="11" xfId="0" applyFill="1" applyBorder="1" applyAlignment="1">
      <alignment horizontal="center" vertical="center"/>
    </xf>
    <xf numFmtId="0" fontId="0" fillId="31" borderId="16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31" borderId="11" xfId="0" applyFill="1" applyBorder="1" applyAlignment="1">
      <alignment horizontal="center" vertical="center" wrapText="1"/>
    </xf>
    <xf numFmtId="0" fontId="0" fillId="25" borderId="11" xfId="0" applyFill="1" applyBorder="1" applyAlignment="1">
      <alignment vertical="center"/>
    </xf>
    <xf numFmtId="0" fontId="0" fillId="25" borderId="1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5" borderId="11" xfId="0" applyFill="1" applyBorder="1" applyAlignment="1">
      <alignment horizontal="left" vertical="center" wrapText="1"/>
    </xf>
    <xf numFmtId="0" fontId="0" fillId="29" borderId="11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4" fontId="19" fillId="0" borderId="0" xfId="0" applyNumberFormat="1" applyFont="1" applyAlignment="1"/>
    <xf numFmtId="0" fontId="0" fillId="0" borderId="17" xfId="0" applyFont="1" applyFill="1" applyBorder="1" applyAlignment="1">
      <alignment horizontal="center" vertical="center" wrapText="1"/>
    </xf>
    <xf numFmtId="0" fontId="0" fillId="0" borderId="0" xfId="0" applyFont="1"/>
    <xf numFmtId="1" fontId="0" fillId="0" borderId="11" xfId="0" applyNumberFormat="1" applyFill="1" applyBorder="1" applyAlignment="1">
      <alignment horizontal="center" vertical="center"/>
    </xf>
    <xf numFmtId="0" fontId="0" fillId="0" borderId="11" xfId="37" applyFont="1" applyFill="1" applyBorder="1" applyAlignment="1">
      <alignment horizontal="center" vertical="center" wrapText="1"/>
    </xf>
    <xf numFmtId="0" fontId="14" fillId="0" borderId="11" xfId="37" quotePrefix="1" applyFont="1" applyFill="1" applyBorder="1" applyAlignment="1">
      <alignment horizontal="center" vertical="center" wrapText="1"/>
    </xf>
    <xf numFmtId="4" fontId="0" fillId="0" borderId="10" xfId="0" applyNumberFormat="1" applyFill="1" applyBorder="1" applyAlignment="1">
      <alignment horizontal="center" vertical="center" wrapText="1"/>
    </xf>
    <xf numFmtId="14" fontId="0" fillId="0" borderId="12" xfId="0" applyNumberFormat="1" applyFill="1" applyBorder="1" applyAlignment="1">
      <alignment horizontal="center" vertical="center" wrapText="1"/>
    </xf>
    <xf numFmtId="4" fontId="0" fillId="0" borderId="11" xfId="0" applyNumberFormat="1" applyFill="1" applyBorder="1" applyAlignment="1">
      <alignment horizontal="center" vertical="center"/>
    </xf>
    <xf numFmtId="14" fontId="0" fillId="0" borderId="11" xfId="0" applyNumberFormat="1" applyFill="1" applyBorder="1" applyAlignment="1">
      <alignment horizontal="center" vertical="center"/>
    </xf>
    <xf numFmtId="0" fontId="14" fillId="0" borderId="11" xfId="37" applyFont="1" applyFill="1" applyBorder="1" applyAlignment="1">
      <alignment horizontal="center" vertical="center" wrapText="1"/>
    </xf>
    <xf numFmtId="16" fontId="14" fillId="0" borderId="11" xfId="37" applyNumberFormat="1" applyFont="1" applyFill="1" applyBorder="1" applyAlignment="1">
      <alignment horizontal="center" vertical="center" wrapText="1"/>
    </xf>
    <xf numFmtId="16" fontId="0" fillId="0" borderId="11" xfId="37" applyNumberFormat="1" applyFont="1" applyFill="1" applyBorder="1" applyAlignment="1">
      <alignment horizontal="center" vertical="center" wrapText="1"/>
    </xf>
    <xf numFmtId="4" fontId="0" fillId="0" borderId="11" xfId="0" applyNumberFormat="1" applyFont="1" applyFill="1" applyBorder="1" applyAlignment="1">
      <alignment horizontal="center" vertical="center"/>
    </xf>
    <xf numFmtId="4" fontId="21" fillId="0" borderId="11" xfId="0" applyNumberFormat="1" applyFont="1" applyFill="1" applyBorder="1" applyAlignment="1">
      <alignment horizontal="center" vertical="center" wrapText="1"/>
    </xf>
    <xf numFmtId="14" fontId="0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1" xfId="0" applyFill="1" applyBorder="1"/>
    <xf numFmtId="0" fontId="24" fillId="0" borderId="11" xfId="44" applyFont="1" applyFill="1" applyBorder="1" applyAlignment="1">
      <alignment horizontal="center" vertical="center" wrapText="1"/>
    </xf>
    <xf numFmtId="169" fontId="14" fillId="0" borderId="11" xfId="0" applyNumberFormat="1" applyFont="1" applyFill="1" applyBorder="1" applyAlignment="1">
      <alignment horizontal="center" vertical="center"/>
    </xf>
    <xf numFmtId="4" fontId="14" fillId="0" borderId="11" xfId="0" applyNumberFormat="1" applyFont="1" applyFill="1" applyBorder="1" applyAlignment="1">
      <alignment horizontal="center" vertical="center"/>
    </xf>
    <xf numFmtId="165" fontId="0" fillId="0" borderId="11" xfId="0" applyNumberForma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4" fontId="0" fillId="0" borderId="16" xfId="0" applyNumberForma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0" fontId="0" fillId="0" borderId="11" xfId="43" applyFont="1" applyFill="1" applyBorder="1" applyAlignment="1">
      <alignment horizontal="center" vertical="center" wrapText="1"/>
    </xf>
    <xf numFmtId="4" fontId="24" fillId="0" borderId="11" xfId="0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/>
    </xf>
    <xf numFmtId="14" fontId="24" fillId="0" borderId="11" xfId="0" applyNumberFormat="1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/>
    </xf>
    <xf numFmtId="14" fontId="0" fillId="0" borderId="16" xfId="0" applyNumberForma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14" fontId="0" fillId="0" borderId="17" xfId="0" applyNumberFormat="1" applyFill="1" applyBorder="1" applyAlignment="1">
      <alignment horizontal="center" vertical="center"/>
    </xf>
    <xf numFmtId="4" fontId="0" fillId="0" borderId="17" xfId="0" applyNumberFormat="1" applyFill="1" applyBorder="1" applyAlignment="1">
      <alignment horizontal="center" vertical="center"/>
    </xf>
    <xf numFmtId="17" fontId="0" fillId="0" borderId="11" xfId="0" applyNumberFormat="1" applyFill="1" applyBorder="1" applyAlignment="1">
      <alignment horizontal="center" vertical="center"/>
    </xf>
    <xf numFmtId="165" fontId="0" fillId="0" borderId="11" xfId="0" applyNumberFormat="1" applyFill="1" applyBorder="1" applyAlignment="1">
      <alignment horizontal="center" vertical="center" wrapText="1"/>
    </xf>
    <xf numFmtId="14" fontId="0" fillId="0" borderId="11" xfId="0" applyNumberFormat="1" applyFill="1" applyBorder="1" applyAlignment="1">
      <alignment horizontal="center" vertical="center" wrapText="1"/>
    </xf>
    <xf numFmtId="0" fontId="20" fillId="0" borderId="13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" fontId="0" fillId="0" borderId="0" xfId="0" applyNumberFormat="1" applyFill="1"/>
    <xf numFmtId="0" fontId="0" fillId="0" borderId="11" xfId="0" applyNumberFormat="1" applyFont="1" applyFill="1" applyBorder="1" applyAlignment="1">
      <alignment horizontal="center" vertical="center" wrapText="1"/>
    </xf>
    <xf numFmtId="14" fontId="0" fillId="0" borderId="11" xfId="0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 wrapText="1"/>
    </xf>
    <xf numFmtId="4" fontId="0" fillId="0" borderId="16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left" vertical="center"/>
    </xf>
    <xf numFmtId="4" fontId="0" fillId="0" borderId="11" xfId="0" applyNumberFormat="1" applyFont="1" applyFill="1" applyBorder="1" applyAlignment="1">
      <alignment horizontal="center" vertical="center" wrapText="1"/>
    </xf>
    <xf numFmtId="4" fontId="0" fillId="0" borderId="24" xfId="0" applyNumberFormat="1" applyFill="1" applyBorder="1" applyAlignment="1">
      <alignment horizontal="center" vertical="center"/>
    </xf>
    <xf numFmtId="4" fontId="0" fillId="0" borderId="24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1" xfId="0" applyFont="1" applyFill="1" applyBorder="1" applyAlignment="1">
      <alignment horizontal="left" vertical="center" wrapText="1"/>
    </xf>
    <xf numFmtId="0" fontId="0" fillId="28" borderId="11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vertical="center" wrapText="1"/>
    </xf>
    <xf numFmtId="0" fontId="0" fillId="30" borderId="11" xfId="0" applyFont="1" applyFill="1" applyBorder="1" applyAlignment="1">
      <alignment horizontal="left" vertical="center" wrapText="1"/>
    </xf>
    <xf numFmtId="0" fontId="0" fillId="30" borderId="11" xfId="0" applyFont="1" applyFill="1" applyBorder="1" applyAlignment="1">
      <alignment vertical="center" wrapText="1"/>
    </xf>
    <xf numFmtId="0" fontId="24" fillId="28" borderId="11" xfId="0" applyFont="1" applyFill="1" applyBorder="1" applyAlignment="1">
      <alignment vertical="center" wrapText="1"/>
    </xf>
    <xf numFmtId="0" fontId="24" fillId="0" borderId="11" xfId="0" applyFont="1" applyFill="1" applyBorder="1" applyAlignment="1">
      <alignment vertical="center" wrapText="1"/>
    </xf>
    <xf numFmtId="0" fontId="0" fillId="25" borderId="11" xfId="0" applyFill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165" fontId="0" fillId="0" borderId="10" xfId="0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0" xfId="37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0" xfId="0" applyFill="1" applyBorder="1" applyAlignment="1">
      <alignment horizontal="left" vertical="center" wrapText="1"/>
    </xf>
    <xf numFmtId="0" fontId="14" fillId="0" borderId="11" xfId="43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1" xfId="37" applyFont="1" applyFill="1" applyBorder="1" applyAlignment="1">
      <alignment horizontal="left" vertical="center" wrapText="1"/>
    </xf>
    <xf numFmtId="0" fontId="0" fillId="0" borderId="11" xfId="43" applyFont="1" applyFill="1" applyBorder="1" applyAlignment="1">
      <alignment horizontal="left" vertical="center" wrapText="1"/>
    </xf>
    <xf numFmtId="166" fontId="0" fillId="0" borderId="11" xfId="0" applyNumberFormat="1" applyFill="1" applyBorder="1" applyAlignment="1">
      <alignment horizontal="center" vertical="center"/>
    </xf>
    <xf numFmtId="2" fontId="0" fillId="0" borderId="11" xfId="0" applyNumberFormat="1" applyFill="1" applyBorder="1" applyAlignment="1">
      <alignment horizontal="center" vertical="center"/>
    </xf>
    <xf numFmtId="4" fontId="0" fillId="0" borderId="11" xfId="0" applyNumberForma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left" vertical="center" wrapText="1"/>
    </xf>
    <xf numFmtId="4" fontId="0" fillId="0" borderId="14" xfId="0" applyNumberForma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left" vertical="center" wrapText="1"/>
    </xf>
    <xf numFmtId="4" fontId="0" fillId="0" borderId="19" xfId="0" applyNumberForma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/>
    </xf>
    <xf numFmtId="0" fontId="14" fillId="0" borderId="11" xfId="28" applyFont="1" applyFill="1" applyBorder="1" applyAlignment="1">
      <alignment horizontal="center" vertical="center" wrapText="1"/>
    </xf>
    <xf numFmtId="0" fontId="25" fillId="0" borderId="0" xfId="45" applyFill="1" applyAlignment="1">
      <alignment vertical="center"/>
    </xf>
    <xf numFmtId="168" fontId="0" fillId="0" borderId="1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0" fontId="28" fillId="0" borderId="0" xfId="0" applyFont="1" applyFill="1"/>
    <xf numFmtId="4" fontId="28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28" fillId="0" borderId="0" xfId="0" applyFont="1" applyFill="1" applyAlignment="1">
      <alignment wrapText="1"/>
    </xf>
    <xf numFmtId="0" fontId="0" fillId="0" borderId="13" xfId="0" applyFill="1" applyBorder="1" applyAlignment="1">
      <alignment horizontal="left"/>
    </xf>
    <xf numFmtId="4" fontId="0" fillId="0" borderId="14" xfId="0" applyNumberFormat="1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0" xfId="0" applyBorder="1"/>
    <xf numFmtId="165" fontId="0" fillId="0" borderId="0" xfId="0" applyNumberForma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left" vertical="center" wrapText="1"/>
    </xf>
    <xf numFmtId="0" fontId="24" fillId="0" borderId="0" xfId="0" applyFont="1" applyFill="1" applyAlignment="1">
      <alignment wrapText="1"/>
    </xf>
    <xf numFmtId="4" fontId="0" fillId="0" borderId="10" xfId="0" applyNumberFormat="1" applyFont="1" applyFill="1" applyBorder="1" applyAlignment="1">
      <alignment horizontal="center" vertical="center" wrapText="1"/>
    </xf>
    <xf numFmtId="4" fontId="0" fillId="0" borderId="16" xfId="0" applyNumberFormat="1" applyFont="1" applyFill="1" applyBorder="1" applyAlignment="1">
      <alignment horizontal="center" vertical="center"/>
    </xf>
    <xf numFmtId="4" fontId="0" fillId="0" borderId="18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9" fillId="0" borderId="0" xfId="0" applyFont="1" applyBorder="1" applyAlignment="1">
      <alignment horizontal="left"/>
    </xf>
    <xf numFmtId="0" fontId="23" fillId="0" borderId="0" xfId="0" applyFont="1" applyAlignment="1">
      <alignment horizontal="left" vertical="top"/>
    </xf>
    <xf numFmtId="0" fontId="26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28" borderId="16" xfId="0" applyFont="1" applyFill="1" applyBorder="1" applyAlignment="1">
      <alignment horizontal="center" vertical="center" wrapText="1"/>
    </xf>
    <xf numFmtId="0" fontId="19" fillId="28" borderId="17" xfId="0" applyFont="1" applyFill="1" applyBorder="1" applyAlignment="1">
      <alignment horizontal="center" vertical="center" wrapText="1"/>
    </xf>
    <xf numFmtId="0" fontId="19" fillId="28" borderId="18" xfId="0" applyFont="1" applyFill="1" applyBorder="1" applyAlignment="1">
      <alignment horizontal="center" vertical="center" wrapText="1"/>
    </xf>
    <xf numFmtId="0" fontId="19" fillId="25" borderId="11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25" borderId="16" xfId="0" applyFont="1" applyFill="1" applyBorder="1" applyAlignment="1">
      <alignment horizontal="center" vertical="center" wrapText="1"/>
    </xf>
    <xf numFmtId="0" fontId="19" fillId="25" borderId="17" xfId="0" applyFont="1" applyFill="1" applyBorder="1" applyAlignment="1">
      <alignment horizontal="center" vertical="center" wrapText="1"/>
    </xf>
    <xf numFmtId="0" fontId="19" fillId="25" borderId="18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</cellXfs>
  <cellStyles count="46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7" builtinId="31" customBuiltin="1"/>
    <cellStyle name="40% - Isticanje2" xfId="8" builtinId="35" customBuiltin="1"/>
    <cellStyle name="40% - Isticanje3" xfId="9" builtinId="39" customBuiltin="1"/>
    <cellStyle name="40% - Isticanje4" xfId="10" builtinId="43" customBuiltin="1"/>
    <cellStyle name="40% - Isticanje5" xfId="11" builtinId="47" customBuiltin="1"/>
    <cellStyle name="40% - Isticanje6" xfId="12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Bilješka" xfId="38" builtinId="10" customBuiltin="1"/>
    <cellStyle name="Dobro" xfId="29" builtinId="26" customBuiltin="1"/>
    <cellStyle name="Hiperveza" xfId="45" builtinId="8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Izlaz" xfId="39" builtinId="21" customBuiltin="1"/>
    <cellStyle name="Izračun" xfId="26" builtinId="22" customBuiltin="1"/>
    <cellStyle name="Loše" xfId="25" builtinId="27" customBuiltin="1"/>
    <cellStyle name="Naslov" xfId="40" builtinId="15" customBuiltin="1"/>
    <cellStyle name="Naslov 1" xfId="30" builtinId="16" customBuiltin="1"/>
    <cellStyle name="Naslov 2" xfId="31" builtinId="17" customBuiltin="1"/>
    <cellStyle name="Naslov 3" xfId="32" builtinId="18" customBuiltin="1"/>
    <cellStyle name="Naslov 4" xfId="33" builtinId="19" customBuiltin="1"/>
    <cellStyle name="Neutralno" xfId="36" builtinId="28" customBuiltin="1"/>
    <cellStyle name="Normal 2" xfId="37"/>
    <cellStyle name="Normal 2 10" xfId="43"/>
    <cellStyle name="Normal 2 2" xfId="44"/>
    <cellStyle name="Normalno" xfId="0" builtinId="0"/>
    <cellStyle name="Povezana ćelija" xfId="35" builtinId="24" customBuiltin="1"/>
    <cellStyle name="Provjera ćelije" xfId="27" builtinId="23" customBuiltin="1"/>
    <cellStyle name="Tekst objašnjenja" xfId="28" builtinId="53" customBuiltin="1"/>
    <cellStyle name="Tekst upozorenja" xfId="42" builtinId="11" customBuiltin="1"/>
    <cellStyle name="Ukupni zbroj" xfId="41" builtinId="25" customBuiltin="1"/>
    <cellStyle name="Unos" xfId="34" builtinId="2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7"/>
  <sheetViews>
    <sheetView zoomScale="80" zoomScaleNormal="80" workbookViewId="0">
      <pane ySplit="6" topLeftCell="A339" activePane="bottomLeft" state="frozen"/>
      <selection pane="bottomLeft" activeCell="B363" sqref="B363"/>
    </sheetView>
  </sheetViews>
  <sheetFormatPr defaultRowHeight="12.75" x14ac:dyDescent="0.2"/>
  <cols>
    <col min="1" max="1" width="6.85546875" customWidth="1"/>
    <col min="2" max="2" width="71.7109375" customWidth="1"/>
    <col min="3" max="3" width="12.42578125" customWidth="1"/>
    <col min="4" max="4" width="12.42578125" style="14" customWidth="1"/>
    <col min="5" max="5" width="20.5703125" style="7" customWidth="1"/>
    <col min="6" max="6" width="34.28515625" style="7" customWidth="1"/>
    <col min="7" max="7" width="17.85546875" style="7" customWidth="1"/>
    <col min="8" max="8" width="15.140625" style="5" customWidth="1"/>
    <col min="9" max="9" width="13.140625" style="7" customWidth="1"/>
    <col min="10" max="10" width="17.85546875" style="7" customWidth="1"/>
    <col min="11" max="11" width="18.28515625" customWidth="1"/>
    <col min="12" max="12" width="16" customWidth="1"/>
  </cols>
  <sheetData>
    <row r="1" spans="1:12" x14ac:dyDescent="0.2">
      <c r="A1" s="213" t="s">
        <v>6</v>
      </c>
      <c r="B1" s="213"/>
      <c r="C1" s="1"/>
      <c r="D1" s="13"/>
      <c r="E1" s="2"/>
      <c r="G1" s="75"/>
    </row>
    <row r="2" spans="1:12" x14ac:dyDescent="0.2">
      <c r="A2" s="213" t="s">
        <v>1283</v>
      </c>
      <c r="B2" s="213"/>
      <c r="C2" s="1"/>
      <c r="D2" s="13"/>
      <c r="E2" s="2"/>
      <c r="G2" s="75"/>
    </row>
    <row r="3" spans="1:12" x14ac:dyDescent="0.2">
      <c r="B3" s="6"/>
    </row>
    <row r="4" spans="1:12" x14ac:dyDescent="0.2">
      <c r="A4" s="213" t="s">
        <v>16</v>
      </c>
      <c r="B4" s="213"/>
      <c r="C4" s="213"/>
      <c r="G4" s="75"/>
    </row>
    <row r="5" spans="1:12" x14ac:dyDescent="0.2">
      <c r="B5" s="6"/>
    </row>
    <row r="6" spans="1:12" ht="66" customHeight="1" x14ac:dyDescent="0.2">
      <c r="A6" s="16" t="s">
        <v>5</v>
      </c>
      <c r="B6" s="16" t="s">
        <v>7</v>
      </c>
      <c r="C6" s="16" t="s">
        <v>1</v>
      </c>
      <c r="D6" s="17" t="s">
        <v>8</v>
      </c>
      <c r="E6" s="16" t="s">
        <v>9</v>
      </c>
      <c r="F6" s="16" t="s">
        <v>10</v>
      </c>
      <c r="G6" s="16" t="s">
        <v>11</v>
      </c>
      <c r="H6" s="16" t="s">
        <v>12</v>
      </c>
      <c r="I6" s="16" t="s">
        <v>13</v>
      </c>
      <c r="J6" s="26" t="s">
        <v>14</v>
      </c>
    </row>
    <row r="7" spans="1:12" s="6" customFormat="1" ht="38.25" x14ac:dyDescent="0.2">
      <c r="A7" s="175">
        <v>1</v>
      </c>
      <c r="B7" s="176" t="s">
        <v>17</v>
      </c>
      <c r="C7" s="177" t="s">
        <v>18</v>
      </c>
      <c r="D7" s="177" t="s">
        <v>19</v>
      </c>
      <c r="E7" s="22" t="s">
        <v>20</v>
      </c>
      <c r="F7" s="176" t="s">
        <v>21</v>
      </c>
      <c r="G7" s="112">
        <v>1373750</v>
      </c>
      <c r="H7" s="29" t="s">
        <v>22</v>
      </c>
      <c r="I7" s="113">
        <v>42754</v>
      </c>
      <c r="J7" s="114">
        <v>915810</v>
      </c>
      <c r="K7" s="23"/>
      <c r="L7" s="23"/>
    </row>
    <row r="8" spans="1:12" s="6" customFormat="1" ht="38.25" x14ac:dyDescent="0.2">
      <c r="A8" s="175">
        <v>2</v>
      </c>
      <c r="B8" s="176" t="s">
        <v>23</v>
      </c>
      <c r="C8" s="177" t="s">
        <v>178</v>
      </c>
      <c r="D8" s="177" t="s">
        <v>24</v>
      </c>
      <c r="E8" s="22" t="s">
        <v>20</v>
      </c>
      <c r="F8" s="176" t="s">
        <v>25</v>
      </c>
      <c r="G8" s="112">
        <v>267950</v>
      </c>
      <c r="H8" s="29" t="s">
        <v>26</v>
      </c>
      <c r="I8" s="113">
        <v>42754</v>
      </c>
      <c r="J8" s="114">
        <v>0</v>
      </c>
      <c r="K8" s="178"/>
      <c r="L8" s="179"/>
    </row>
    <row r="9" spans="1:12" s="6" customFormat="1" ht="38.25" x14ac:dyDescent="0.2">
      <c r="A9" s="175">
        <v>3</v>
      </c>
      <c r="B9" s="176" t="s">
        <v>27</v>
      </c>
      <c r="C9" s="177" t="s">
        <v>178</v>
      </c>
      <c r="D9" s="177" t="s">
        <v>24</v>
      </c>
      <c r="E9" s="22" t="s">
        <v>20</v>
      </c>
      <c r="F9" s="176" t="s">
        <v>25</v>
      </c>
      <c r="G9" s="112">
        <v>279125</v>
      </c>
      <c r="H9" s="29" t="s">
        <v>28</v>
      </c>
      <c r="I9" s="113">
        <v>42754</v>
      </c>
      <c r="J9" s="114">
        <v>0</v>
      </c>
    </row>
    <row r="10" spans="1:12" s="6" customFormat="1" ht="38.25" x14ac:dyDescent="0.2">
      <c r="A10" s="175">
        <v>4</v>
      </c>
      <c r="B10" s="176" t="s">
        <v>29</v>
      </c>
      <c r="C10" s="177" t="s">
        <v>30</v>
      </c>
      <c r="D10" s="177" t="s">
        <v>31</v>
      </c>
      <c r="E10" s="22" t="s">
        <v>20</v>
      </c>
      <c r="F10" s="176" t="s">
        <v>32</v>
      </c>
      <c r="G10" s="112">
        <v>307098.75</v>
      </c>
      <c r="H10" s="29" t="s">
        <v>33</v>
      </c>
      <c r="I10" s="113">
        <v>42754</v>
      </c>
      <c r="J10" s="114">
        <v>2142</v>
      </c>
    </row>
    <row r="11" spans="1:12" s="6" customFormat="1" ht="38.25" x14ac:dyDescent="0.2">
      <c r="A11" s="175">
        <v>5</v>
      </c>
      <c r="B11" s="176" t="s">
        <v>34</v>
      </c>
      <c r="C11" s="177" t="s">
        <v>35</v>
      </c>
      <c r="D11" s="177" t="s">
        <v>36</v>
      </c>
      <c r="E11" s="22" t="s">
        <v>20</v>
      </c>
      <c r="F11" s="176" t="s">
        <v>37</v>
      </c>
      <c r="G11" s="112">
        <v>399000</v>
      </c>
      <c r="H11" s="29" t="s">
        <v>38</v>
      </c>
      <c r="I11" s="113">
        <v>42754</v>
      </c>
      <c r="J11" s="114">
        <v>1050</v>
      </c>
    </row>
    <row r="12" spans="1:12" s="6" customFormat="1" ht="38.25" x14ac:dyDescent="0.2">
      <c r="A12" s="175">
        <v>6</v>
      </c>
      <c r="B12" s="176" t="s">
        <v>59</v>
      </c>
      <c r="C12" s="177" t="s">
        <v>60</v>
      </c>
      <c r="D12" s="177" t="s">
        <v>61</v>
      </c>
      <c r="E12" s="22" t="s">
        <v>20</v>
      </c>
      <c r="F12" s="176" t="s">
        <v>62</v>
      </c>
      <c r="G12" s="112">
        <v>206246.25</v>
      </c>
      <c r="H12" s="29" t="s">
        <v>63</v>
      </c>
      <c r="I12" s="113">
        <v>42754</v>
      </c>
      <c r="J12" s="114">
        <v>0</v>
      </c>
    </row>
    <row r="13" spans="1:12" s="6" customFormat="1" ht="38.25" x14ac:dyDescent="0.2">
      <c r="A13" s="175">
        <v>7</v>
      </c>
      <c r="B13" s="176" t="s">
        <v>64</v>
      </c>
      <c r="C13" s="177" t="s">
        <v>65</v>
      </c>
      <c r="D13" s="177" t="s">
        <v>66</v>
      </c>
      <c r="E13" s="22" t="s">
        <v>20</v>
      </c>
      <c r="F13" s="176" t="s">
        <v>49</v>
      </c>
      <c r="G13" s="112">
        <v>31263.45</v>
      </c>
      <c r="H13" s="29" t="s">
        <v>67</v>
      </c>
      <c r="I13" s="113">
        <v>42754</v>
      </c>
      <c r="J13" s="114">
        <v>0</v>
      </c>
    </row>
    <row r="14" spans="1:12" s="6" customFormat="1" ht="38.25" x14ac:dyDescent="0.2">
      <c r="A14" s="175">
        <v>8</v>
      </c>
      <c r="B14" s="176" t="s">
        <v>72</v>
      </c>
      <c r="C14" s="177" t="s">
        <v>73</v>
      </c>
      <c r="D14" s="177" t="s">
        <v>74</v>
      </c>
      <c r="E14" s="22" t="s">
        <v>20</v>
      </c>
      <c r="F14" s="176" t="s">
        <v>75</v>
      </c>
      <c r="G14" s="112">
        <v>124875</v>
      </c>
      <c r="H14" s="29" t="s">
        <v>76</v>
      </c>
      <c r="I14" s="113">
        <v>42754</v>
      </c>
      <c r="J14" s="112">
        <v>0</v>
      </c>
    </row>
    <row r="15" spans="1:12" s="6" customFormat="1" ht="38.25" x14ac:dyDescent="0.2">
      <c r="A15" s="175">
        <v>9</v>
      </c>
      <c r="B15" s="176" t="s">
        <v>77</v>
      </c>
      <c r="C15" s="177" t="s">
        <v>73</v>
      </c>
      <c r="D15" s="177" t="s">
        <v>74</v>
      </c>
      <c r="E15" s="22" t="s">
        <v>20</v>
      </c>
      <c r="F15" s="176" t="s">
        <v>78</v>
      </c>
      <c r="G15" s="112">
        <v>1512500</v>
      </c>
      <c r="H15" s="29" t="s">
        <v>79</v>
      </c>
      <c r="I15" s="113">
        <v>42754</v>
      </c>
      <c r="J15" s="114">
        <v>254253.75</v>
      </c>
    </row>
    <row r="16" spans="1:12" s="6" customFormat="1" ht="38.25" x14ac:dyDescent="0.2">
      <c r="A16" s="175">
        <v>10</v>
      </c>
      <c r="B16" s="176" t="s">
        <v>80</v>
      </c>
      <c r="C16" s="177" t="s">
        <v>81</v>
      </c>
      <c r="D16" s="177" t="s">
        <v>82</v>
      </c>
      <c r="E16" s="22" t="s">
        <v>20</v>
      </c>
      <c r="F16" s="176" t="s">
        <v>83</v>
      </c>
      <c r="G16" s="112">
        <v>472594.87</v>
      </c>
      <c r="H16" s="29" t="s">
        <v>84</v>
      </c>
      <c r="I16" s="113">
        <v>42754</v>
      </c>
      <c r="J16" s="114">
        <v>10648.13</v>
      </c>
    </row>
    <row r="17" spans="1:10" s="6" customFormat="1" ht="38.25" x14ac:dyDescent="0.2">
      <c r="A17" s="175">
        <v>11</v>
      </c>
      <c r="B17" s="176" t="s">
        <v>85</v>
      </c>
      <c r="C17" s="177" t="s">
        <v>86</v>
      </c>
      <c r="D17" s="177" t="s">
        <v>87</v>
      </c>
      <c r="E17" s="22" t="s">
        <v>20</v>
      </c>
      <c r="F17" s="176" t="s">
        <v>88</v>
      </c>
      <c r="G17" s="112">
        <v>98517.25</v>
      </c>
      <c r="H17" s="29" t="s">
        <v>89</v>
      </c>
      <c r="I17" s="113">
        <v>42753</v>
      </c>
      <c r="J17" s="112">
        <v>0</v>
      </c>
    </row>
    <row r="18" spans="1:10" s="6" customFormat="1" ht="38.25" x14ac:dyDescent="0.2">
      <c r="A18" s="175">
        <v>12</v>
      </c>
      <c r="B18" s="176" t="s">
        <v>90</v>
      </c>
      <c r="C18" s="177" t="s">
        <v>73</v>
      </c>
      <c r="D18" s="177" t="s">
        <v>74</v>
      </c>
      <c r="E18" s="22" t="s">
        <v>20</v>
      </c>
      <c r="F18" s="176" t="s">
        <v>91</v>
      </c>
      <c r="G18" s="112">
        <v>349956.25</v>
      </c>
      <c r="H18" s="29" t="s">
        <v>92</v>
      </c>
      <c r="I18" s="113">
        <v>42754</v>
      </c>
      <c r="J18" s="114">
        <v>0</v>
      </c>
    </row>
    <row r="19" spans="1:10" s="6" customFormat="1" ht="38.25" x14ac:dyDescent="0.2">
      <c r="A19" s="175">
        <v>13</v>
      </c>
      <c r="B19" s="180" t="s">
        <v>93</v>
      </c>
      <c r="C19" s="177" t="s">
        <v>94</v>
      </c>
      <c r="D19" s="177" t="s">
        <v>95</v>
      </c>
      <c r="E19" s="22" t="s">
        <v>20</v>
      </c>
      <c r="F19" s="176" t="s">
        <v>96</v>
      </c>
      <c r="G19" s="112">
        <v>584875</v>
      </c>
      <c r="H19" s="29" t="s">
        <v>97</v>
      </c>
      <c r="I19" s="113" t="s">
        <v>4203</v>
      </c>
      <c r="J19" s="112">
        <v>584875</v>
      </c>
    </row>
    <row r="20" spans="1:10" s="6" customFormat="1" ht="38.25" x14ac:dyDescent="0.2">
      <c r="A20" s="175">
        <v>14</v>
      </c>
      <c r="B20" s="180" t="s">
        <v>98</v>
      </c>
      <c r="C20" s="177" t="s">
        <v>99</v>
      </c>
      <c r="D20" s="177" t="s">
        <v>100</v>
      </c>
      <c r="E20" s="22" t="s">
        <v>20</v>
      </c>
      <c r="F20" s="176" t="s">
        <v>91</v>
      </c>
      <c r="G20" s="112">
        <v>939739.5</v>
      </c>
      <c r="H20" s="29" t="s">
        <v>101</v>
      </c>
      <c r="I20" s="113">
        <v>42760</v>
      </c>
      <c r="J20" s="114">
        <v>0</v>
      </c>
    </row>
    <row r="21" spans="1:10" s="6" customFormat="1" ht="38.25" x14ac:dyDescent="0.2">
      <c r="A21" s="175">
        <v>15</v>
      </c>
      <c r="B21" s="180" t="s">
        <v>133</v>
      </c>
      <c r="C21" s="177" t="s">
        <v>99</v>
      </c>
      <c r="D21" s="177" t="s">
        <v>100</v>
      </c>
      <c r="E21" s="22" t="s">
        <v>20</v>
      </c>
      <c r="F21" s="176" t="s">
        <v>134</v>
      </c>
      <c r="G21" s="112">
        <v>1684042.5</v>
      </c>
      <c r="H21" s="29" t="s">
        <v>135</v>
      </c>
      <c r="I21" s="113">
        <v>42760</v>
      </c>
      <c r="J21" s="114">
        <v>29767.5</v>
      </c>
    </row>
    <row r="22" spans="1:10" s="6" customFormat="1" ht="38.25" x14ac:dyDescent="0.2">
      <c r="A22" s="175">
        <v>16</v>
      </c>
      <c r="B22" s="180" t="s">
        <v>136</v>
      </c>
      <c r="C22" s="177" t="s">
        <v>137</v>
      </c>
      <c r="D22" s="177" t="s">
        <v>141</v>
      </c>
      <c r="E22" s="104" t="s">
        <v>0</v>
      </c>
      <c r="F22" s="176" t="s">
        <v>138</v>
      </c>
      <c r="G22" s="112">
        <v>1159606.26</v>
      </c>
      <c r="H22" s="29" t="s">
        <v>139</v>
      </c>
      <c r="I22" s="113">
        <v>43125</v>
      </c>
      <c r="J22" s="114">
        <v>0</v>
      </c>
    </row>
    <row r="23" spans="1:10" s="6" customFormat="1" ht="38.25" x14ac:dyDescent="0.2">
      <c r="A23" s="175">
        <v>17</v>
      </c>
      <c r="B23" s="180" t="s">
        <v>140</v>
      </c>
      <c r="C23" s="177" t="s">
        <v>137</v>
      </c>
      <c r="D23" s="177" t="s">
        <v>141</v>
      </c>
      <c r="E23" s="22" t="s">
        <v>3</v>
      </c>
      <c r="F23" s="176" t="s">
        <v>138</v>
      </c>
      <c r="G23" s="112">
        <v>579803</v>
      </c>
      <c r="H23" s="29" t="s">
        <v>142</v>
      </c>
      <c r="I23" s="113">
        <v>42761</v>
      </c>
      <c r="J23" s="114">
        <v>0</v>
      </c>
    </row>
    <row r="24" spans="1:10" s="6" customFormat="1" ht="38.25" x14ac:dyDescent="0.2">
      <c r="A24" s="175">
        <v>18</v>
      </c>
      <c r="B24" s="180" t="s">
        <v>161</v>
      </c>
      <c r="C24" s="177" t="s">
        <v>99</v>
      </c>
      <c r="D24" s="177" t="s">
        <v>100</v>
      </c>
      <c r="E24" s="22" t="s">
        <v>20</v>
      </c>
      <c r="F24" s="176" t="s">
        <v>78</v>
      </c>
      <c r="G24" s="112">
        <v>735000</v>
      </c>
      <c r="H24" s="29" t="s">
        <v>162</v>
      </c>
      <c r="I24" s="113">
        <v>42760</v>
      </c>
      <c r="J24" s="114">
        <v>8295</v>
      </c>
    </row>
    <row r="25" spans="1:10" s="6" customFormat="1" ht="38.25" x14ac:dyDescent="0.2">
      <c r="A25" s="175">
        <v>19</v>
      </c>
      <c r="B25" s="180" t="s">
        <v>163</v>
      </c>
      <c r="C25" s="177" t="s">
        <v>164</v>
      </c>
      <c r="D25" s="177" t="s">
        <v>165</v>
      </c>
      <c r="E25" s="22" t="s">
        <v>20</v>
      </c>
      <c r="F25" s="176" t="s">
        <v>166</v>
      </c>
      <c r="G25" s="112">
        <v>1475.63</v>
      </c>
      <c r="H25" s="29" t="s">
        <v>167</v>
      </c>
      <c r="I25" s="113">
        <v>42684</v>
      </c>
      <c r="J25" s="114">
        <v>0</v>
      </c>
    </row>
    <row r="26" spans="1:10" s="6" customFormat="1" ht="38.25" x14ac:dyDescent="0.2">
      <c r="A26" s="175">
        <v>20</v>
      </c>
      <c r="B26" s="180" t="s">
        <v>170</v>
      </c>
      <c r="C26" s="177" t="s">
        <v>168</v>
      </c>
      <c r="D26" s="104" t="s">
        <v>1174</v>
      </c>
      <c r="E26" s="22" t="s">
        <v>3</v>
      </c>
      <c r="F26" s="176" t="s">
        <v>138</v>
      </c>
      <c r="G26" s="112">
        <v>75062.5</v>
      </c>
      <c r="H26" s="29" t="s">
        <v>169</v>
      </c>
      <c r="I26" s="113">
        <v>42755</v>
      </c>
      <c r="J26" s="114">
        <v>0</v>
      </c>
    </row>
    <row r="27" spans="1:10" s="6" customFormat="1" ht="38.25" x14ac:dyDescent="0.2">
      <c r="A27" s="175">
        <v>21</v>
      </c>
      <c r="B27" s="180" t="s">
        <v>171</v>
      </c>
      <c r="C27" s="177" t="s">
        <v>168</v>
      </c>
      <c r="D27" s="104" t="s">
        <v>1174</v>
      </c>
      <c r="E27" s="22" t="s">
        <v>3</v>
      </c>
      <c r="F27" s="176" t="s">
        <v>41</v>
      </c>
      <c r="G27" s="112">
        <v>836758</v>
      </c>
      <c r="H27" s="29" t="s">
        <v>172</v>
      </c>
      <c r="I27" s="113">
        <v>42755</v>
      </c>
      <c r="J27" s="114">
        <v>0</v>
      </c>
    </row>
    <row r="28" spans="1:10" s="6" customFormat="1" ht="38.25" x14ac:dyDescent="0.2">
      <c r="A28" s="175">
        <v>22</v>
      </c>
      <c r="B28" s="180" t="s">
        <v>173</v>
      </c>
      <c r="C28" s="177" t="s">
        <v>174</v>
      </c>
      <c r="D28" s="177" t="s">
        <v>177</v>
      </c>
      <c r="E28" s="22" t="s">
        <v>20</v>
      </c>
      <c r="F28" s="176" t="s">
        <v>175</v>
      </c>
      <c r="G28" s="112">
        <f>63259.5+130827.97+59127.08</f>
        <v>253214.55</v>
      </c>
      <c r="H28" s="29" t="s">
        <v>176</v>
      </c>
      <c r="I28" s="113">
        <v>42762</v>
      </c>
      <c r="J28" s="114">
        <v>61042.13</v>
      </c>
    </row>
    <row r="29" spans="1:10" s="6" customFormat="1" ht="38.25" x14ac:dyDescent="0.2">
      <c r="A29" s="175">
        <v>23</v>
      </c>
      <c r="B29" s="180" t="s">
        <v>179</v>
      </c>
      <c r="C29" s="177" t="s">
        <v>178</v>
      </c>
      <c r="D29" s="177" t="s">
        <v>180</v>
      </c>
      <c r="E29" s="22" t="s">
        <v>20</v>
      </c>
      <c r="F29" s="176" t="s">
        <v>25</v>
      </c>
      <c r="G29" s="112">
        <f>1607720.1+832456.8+13797+20947.5+268496.25+7625</f>
        <v>2751042.6500000004</v>
      </c>
      <c r="H29" s="29" t="s">
        <v>181</v>
      </c>
      <c r="I29" s="113">
        <v>42767</v>
      </c>
      <c r="J29" s="114">
        <v>0</v>
      </c>
    </row>
    <row r="30" spans="1:10" s="6" customFormat="1" ht="38.25" x14ac:dyDescent="0.2">
      <c r="A30" s="175">
        <v>24</v>
      </c>
      <c r="B30" s="180" t="s">
        <v>204</v>
      </c>
      <c r="C30" s="116" t="s">
        <v>205</v>
      </c>
      <c r="D30" s="177" t="s">
        <v>206</v>
      </c>
      <c r="E30" s="22" t="s">
        <v>20</v>
      </c>
      <c r="F30" s="176" t="s">
        <v>25</v>
      </c>
      <c r="G30" s="112">
        <v>48739.95</v>
      </c>
      <c r="H30" s="29" t="s">
        <v>207</v>
      </c>
      <c r="I30" s="113">
        <v>42767</v>
      </c>
      <c r="J30" s="114">
        <v>0</v>
      </c>
    </row>
    <row r="31" spans="1:10" s="6" customFormat="1" ht="38.25" x14ac:dyDescent="0.2">
      <c r="A31" s="175">
        <v>25</v>
      </c>
      <c r="B31" s="180" t="s">
        <v>208</v>
      </c>
      <c r="C31" s="110" t="s">
        <v>205</v>
      </c>
      <c r="D31" s="177" t="s">
        <v>206</v>
      </c>
      <c r="E31" s="22" t="s">
        <v>20</v>
      </c>
      <c r="F31" s="176" t="s">
        <v>83</v>
      </c>
      <c r="G31" s="112">
        <v>146796.25</v>
      </c>
      <c r="H31" s="29" t="s">
        <v>209</v>
      </c>
      <c r="I31" s="113">
        <v>42767</v>
      </c>
      <c r="J31" s="114">
        <v>0</v>
      </c>
    </row>
    <row r="32" spans="1:10" s="6" customFormat="1" ht="38.25" x14ac:dyDescent="0.2">
      <c r="A32" s="175">
        <v>26</v>
      </c>
      <c r="B32" s="180" t="s">
        <v>210</v>
      </c>
      <c r="C32" s="116" t="s">
        <v>205</v>
      </c>
      <c r="D32" s="177" t="s">
        <v>206</v>
      </c>
      <c r="E32" s="22" t="s">
        <v>20</v>
      </c>
      <c r="F32" s="176" t="s">
        <v>211</v>
      </c>
      <c r="G32" s="112">
        <v>83973.11</v>
      </c>
      <c r="H32" s="29" t="s">
        <v>213</v>
      </c>
      <c r="I32" s="113">
        <v>42767</v>
      </c>
      <c r="J32" s="114">
        <v>0</v>
      </c>
    </row>
    <row r="33" spans="1:10" s="6" customFormat="1" ht="38.25" x14ac:dyDescent="0.2">
      <c r="A33" s="175">
        <v>27</v>
      </c>
      <c r="B33" s="180" t="s">
        <v>212</v>
      </c>
      <c r="C33" s="110" t="s">
        <v>205</v>
      </c>
      <c r="D33" s="177" t="s">
        <v>206</v>
      </c>
      <c r="E33" s="22" t="s">
        <v>20</v>
      </c>
      <c r="F33" s="176" t="s">
        <v>78</v>
      </c>
      <c r="G33" s="112">
        <v>1040575.75</v>
      </c>
      <c r="H33" s="29" t="s">
        <v>214</v>
      </c>
      <c r="I33" s="113">
        <v>42767</v>
      </c>
      <c r="J33" s="114">
        <v>127337.45</v>
      </c>
    </row>
    <row r="34" spans="1:10" s="6" customFormat="1" ht="38.25" x14ac:dyDescent="0.2">
      <c r="A34" s="175">
        <v>28</v>
      </c>
      <c r="B34" s="180" t="s">
        <v>215</v>
      </c>
      <c r="C34" s="116" t="s">
        <v>205</v>
      </c>
      <c r="D34" s="177" t="s">
        <v>206</v>
      </c>
      <c r="E34" s="22" t="s">
        <v>20</v>
      </c>
      <c r="F34" s="176" t="s">
        <v>91</v>
      </c>
      <c r="G34" s="112">
        <v>475928.75</v>
      </c>
      <c r="H34" s="29" t="s">
        <v>216</v>
      </c>
      <c r="I34" s="113">
        <v>42767</v>
      </c>
      <c r="J34" s="114">
        <v>0</v>
      </c>
    </row>
    <row r="35" spans="1:10" s="6" customFormat="1" ht="38.25" x14ac:dyDescent="0.2">
      <c r="A35" s="175">
        <v>29</v>
      </c>
      <c r="B35" s="180" t="s">
        <v>217</v>
      </c>
      <c r="C35" s="181" t="s">
        <v>178</v>
      </c>
      <c r="D35" s="177" t="s">
        <v>180</v>
      </c>
      <c r="E35" s="22" t="s">
        <v>20</v>
      </c>
      <c r="F35" s="176" t="s">
        <v>218</v>
      </c>
      <c r="G35" s="112">
        <v>438241.65</v>
      </c>
      <c r="H35" s="29" t="s">
        <v>219</v>
      </c>
      <c r="I35" s="113">
        <v>42767</v>
      </c>
      <c r="J35" s="114">
        <v>0</v>
      </c>
    </row>
    <row r="36" spans="1:10" s="6" customFormat="1" ht="38.25" x14ac:dyDescent="0.2">
      <c r="A36" s="175">
        <v>30</v>
      </c>
      <c r="B36" s="180" t="s">
        <v>220</v>
      </c>
      <c r="C36" s="131" t="s">
        <v>178</v>
      </c>
      <c r="D36" s="177" t="s">
        <v>180</v>
      </c>
      <c r="E36" s="22" t="s">
        <v>20</v>
      </c>
      <c r="F36" s="176" t="s">
        <v>211</v>
      </c>
      <c r="G36" s="112">
        <v>13343.23</v>
      </c>
      <c r="H36" s="29" t="s">
        <v>221</v>
      </c>
      <c r="I36" s="113">
        <v>42767</v>
      </c>
      <c r="J36" s="114">
        <v>0</v>
      </c>
    </row>
    <row r="37" spans="1:10" s="6" customFormat="1" ht="38.25" x14ac:dyDescent="0.2">
      <c r="A37" s="175">
        <v>31</v>
      </c>
      <c r="B37" s="180" t="s">
        <v>223</v>
      </c>
      <c r="C37" s="116" t="s">
        <v>222</v>
      </c>
      <c r="D37" s="177" t="s">
        <v>224</v>
      </c>
      <c r="E37" s="22" t="s">
        <v>20</v>
      </c>
      <c r="F37" s="176" t="s">
        <v>211</v>
      </c>
      <c r="G37" s="112">
        <f>16795.8+25189.5</f>
        <v>41985.3</v>
      </c>
      <c r="H37" s="29" t="s">
        <v>225</v>
      </c>
      <c r="I37" s="113">
        <v>42767</v>
      </c>
      <c r="J37" s="114">
        <v>0</v>
      </c>
    </row>
    <row r="38" spans="1:10" s="6" customFormat="1" ht="38.25" x14ac:dyDescent="0.2">
      <c r="A38" s="175">
        <v>32</v>
      </c>
      <c r="B38" s="180" t="s">
        <v>226</v>
      </c>
      <c r="C38" s="131" t="s">
        <v>178</v>
      </c>
      <c r="D38" s="177" t="s">
        <v>180</v>
      </c>
      <c r="E38" s="22" t="s">
        <v>20</v>
      </c>
      <c r="F38" s="176" t="s">
        <v>227</v>
      </c>
      <c r="G38" s="112">
        <f>28625+16800</f>
        <v>45425</v>
      </c>
      <c r="H38" s="29" t="s">
        <v>228</v>
      </c>
      <c r="I38" s="113">
        <v>42767</v>
      </c>
      <c r="J38" s="114">
        <v>0</v>
      </c>
    </row>
    <row r="39" spans="1:10" s="6" customFormat="1" ht="38.25" x14ac:dyDescent="0.2">
      <c r="A39" s="175">
        <v>33</v>
      </c>
      <c r="B39" s="180" t="s">
        <v>229</v>
      </c>
      <c r="C39" s="131" t="s">
        <v>178</v>
      </c>
      <c r="D39" s="177" t="s">
        <v>180</v>
      </c>
      <c r="E39" s="22" t="s">
        <v>20</v>
      </c>
      <c r="F39" s="176" t="s">
        <v>230</v>
      </c>
      <c r="G39" s="112">
        <v>47695.79</v>
      </c>
      <c r="H39" s="29" t="s">
        <v>231</v>
      </c>
      <c r="I39" s="113">
        <v>42767</v>
      </c>
      <c r="J39" s="114">
        <v>0</v>
      </c>
    </row>
    <row r="40" spans="1:10" s="6" customFormat="1" ht="38.25" x14ac:dyDescent="0.2">
      <c r="A40" s="175">
        <v>34</v>
      </c>
      <c r="B40" s="180" t="s">
        <v>232</v>
      </c>
      <c r="C40" s="131" t="s">
        <v>178</v>
      </c>
      <c r="D40" s="177" t="s">
        <v>180</v>
      </c>
      <c r="E40" s="22" t="s">
        <v>20</v>
      </c>
      <c r="F40" s="182" t="s">
        <v>233</v>
      </c>
      <c r="G40" s="112">
        <f>48560+6337.5+119422.8</f>
        <v>174320.3</v>
      </c>
      <c r="H40" s="29" t="s">
        <v>234</v>
      </c>
      <c r="I40" s="113">
        <v>42767</v>
      </c>
      <c r="J40" s="112">
        <v>51068.5</v>
      </c>
    </row>
    <row r="41" spans="1:10" s="6" customFormat="1" ht="38.25" x14ac:dyDescent="0.2">
      <c r="A41" s="175">
        <v>35</v>
      </c>
      <c r="B41" s="180" t="s">
        <v>235</v>
      </c>
      <c r="C41" s="131" t="s">
        <v>178</v>
      </c>
      <c r="D41" s="177" t="s">
        <v>180</v>
      </c>
      <c r="E41" s="22" t="s">
        <v>20</v>
      </c>
      <c r="F41" s="182" t="s">
        <v>233</v>
      </c>
      <c r="G41" s="112">
        <f>24696+9003.75+3975+3450</f>
        <v>41124.75</v>
      </c>
      <c r="H41" s="29" t="s">
        <v>236</v>
      </c>
      <c r="I41" s="113">
        <v>42767</v>
      </c>
      <c r="J41" s="112">
        <v>1896.3</v>
      </c>
    </row>
    <row r="42" spans="1:10" s="6" customFormat="1" ht="38.25" x14ac:dyDescent="0.2">
      <c r="A42" s="175">
        <v>36</v>
      </c>
      <c r="B42" s="180" t="s">
        <v>237</v>
      </c>
      <c r="C42" s="131" t="s">
        <v>178</v>
      </c>
      <c r="D42" s="177" t="s">
        <v>180</v>
      </c>
      <c r="E42" s="22" t="s">
        <v>20</v>
      </c>
      <c r="F42" s="40" t="s">
        <v>78</v>
      </c>
      <c r="G42" s="112">
        <f>164684.19+8775+105014.7</f>
        <v>278473.89</v>
      </c>
      <c r="H42" s="29" t="s">
        <v>238</v>
      </c>
      <c r="I42" s="113">
        <v>42767</v>
      </c>
      <c r="J42" s="112">
        <v>0</v>
      </c>
    </row>
    <row r="43" spans="1:10" s="6" customFormat="1" ht="38.25" x14ac:dyDescent="0.2">
      <c r="A43" s="175">
        <v>37</v>
      </c>
      <c r="B43" s="180" t="s">
        <v>239</v>
      </c>
      <c r="C43" s="131" t="s">
        <v>178</v>
      </c>
      <c r="D43" s="177" t="s">
        <v>180</v>
      </c>
      <c r="E43" s="22" t="s">
        <v>20</v>
      </c>
      <c r="F43" s="40" t="s">
        <v>240</v>
      </c>
      <c r="G43" s="112">
        <f>136386.6+390285+5040+140625+21840</f>
        <v>694176.6</v>
      </c>
      <c r="H43" s="29" t="s">
        <v>241</v>
      </c>
      <c r="I43" s="113">
        <v>42767</v>
      </c>
      <c r="J43" s="112">
        <v>0</v>
      </c>
    </row>
    <row r="44" spans="1:10" s="6" customFormat="1" ht="38.25" x14ac:dyDescent="0.2">
      <c r="A44" s="175">
        <v>38</v>
      </c>
      <c r="B44" s="180" t="s">
        <v>242</v>
      </c>
      <c r="C44" s="131" t="s">
        <v>178</v>
      </c>
      <c r="D44" s="177" t="s">
        <v>180</v>
      </c>
      <c r="E44" s="22" t="s">
        <v>20</v>
      </c>
      <c r="F44" s="40" t="s">
        <v>240</v>
      </c>
      <c r="G44" s="112">
        <v>12750</v>
      </c>
      <c r="H44" s="29" t="s">
        <v>243</v>
      </c>
      <c r="I44" s="113">
        <v>42767</v>
      </c>
      <c r="J44" s="112">
        <v>0</v>
      </c>
    </row>
    <row r="45" spans="1:10" s="6" customFormat="1" ht="38.25" x14ac:dyDescent="0.2">
      <c r="A45" s="175">
        <v>39</v>
      </c>
      <c r="B45" s="180" t="s">
        <v>244</v>
      </c>
      <c r="C45" s="131" t="s">
        <v>178</v>
      </c>
      <c r="D45" s="177" t="s">
        <v>180</v>
      </c>
      <c r="E45" s="22" t="s">
        <v>20</v>
      </c>
      <c r="F45" s="40" t="s">
        <v>240</v>
      </c>
      <c r="G45" s="112">
        <v>5544</v>
      </c>
      <c r="H45" s="29" t="s">
        <v>245</v>
      </c>
      <c r="I45" s="113">
        <v>42767</v>
      </c>
      <c r="J45" s="112">
        <v>0</v>
      </c>
    </row>
    <row r="46" spans="1:10" s="6" customFormat="1" ht="38.25" x14ac:dyDescent="0.2">
      <c r="A46" s="175">
        <v>40</v>
      </c>
      <c r="B46" s="152" t="s">
        <v>247</v>
      </c>
      <c r="C46" s="116" t="s">
        <v>246</v>
      </c>
      <c r="D46" s="104" t="s">
        <v>248</v>
      </c>
      <c r="E46" s="22" t="s">
        <v>20</v>
      </c>
      <c r="F46" s="40" t="s">
        <v>249</v>
      </c>
      <c r="G46" s="112">
        <v>2398281.7999999998</v>
      </c>
      <c r="H46" s="29" t="s">
        <v>250</v>
      </c>
      <c r="I46" s="115" t="s">
        <v>4202</v>
      </c>
      <c r="J46" s="112">
        <v>699498.87</v>
      </c>
    </row>
    <row r="47" spans="1:10" s="6" customFormat="1" ht="38.25" x14ac:dyDescent="0.2">
      <c r="A47" s="175">
        <v>41</v>
      </c>
      <c r="B47" s="183" t="s">
        <v>260</v>
      </c>
      <c r="C47" s="116" t="s">
        <v>99</v>
      </c>
      <c r="D47" s="110" t="s">
        <v>100</v>
      </c>
      <c r="E47" s="22" t="s">
        <v>20</v>
      </c>
      <c r="F47" s="40" t="s">
        <v>261</v>
      </c>
      <c r="G47" s="112">
        <v>314968.5</v>
      </c>
      <c r="H47" s="29" t="s">
        <v>262</v>
      </c>
      <c r="I47" s="115">
        <v>42760</v>
      </c>
      <c r="J47" s="112">
        <v>0</v>
      </c>
    </row>
    <row r="48" spans="1:10" s="6" customFormat="1" ht="38.25" x14ac:dyDescent="0.2">
      <c r="A48" s="175">
        <v>42</v>
      </c>
      <c r="B48" s="184" t="s">
        <v>264</v>
      </c>
      <c r="C48" s="116" t="s">
        <v>222</v>
      </c>
      <c r="D48" s="131" t="s">
        <v>263</v>
      </c>
      <c r="E48" s="22" t="s">
        <v>20</v>
      </c>
      <c r="F48" s="40" t="s">
        <v>261</v>
      </c>
      <c r="G48" s="112">
        <f>212100+163797.9+117598.95</f>
        <v>493496.85000000003</v>
      </c>
      <c r="H48" s="29" t="s">
        <v>265</v>
      </c>
      <c r="I48" s="113">
        <v>42767</v>
      </c>
      <c r="J48" s="112">
        <v>0</v>
      </c>
    </row>
    <row r="49" spans="1:10" s="6" customFormat="1" ht="38.25" x14ac:dyDescent="0.2">
      <c r="A49" s="175">
        <v>43</v>
      </c>
      <c r="B49" s="183" t="s">
        <v>270</v>
      </c>
      <c r="C49" s="116" t="s">
        <v>205</v>
      </c>
      <c r="D49" s="104" t="s">
        <v>206</v>
      </c>
      <c r="E49" s="22" t="s">
        <v>20</v>
      </c>
      <c r="F49" s="40" t="s">
        <v>75</v>
      </c>
      <c r="G49" s="112">
        <v>17752.5</v>
      </c>
      <c r="H49" s="29" t="s">
        <v>271</v>
      </c>
      <c r="I49" s="113">
        <v>42767</v>
      </c>
      <c r="J49" s="112">
        <v>0</v>
      </c>
    </row>
    <row r="50" spans="1:10" s="6" customFormat="1" ht="38.25" x14ac:dyDescent="0.2">
      <c r="A50" s="175">
        <v>44</v>
      </c>
      <c r="B50" s="152" t="s">
        <v>296</v>
      </c>
      <c r="C50" s="40" t="s">
        <v>297</v>
      </c>
      <c r="D50" s="104" t="s">
        <v>362</v>
      </c>
      <c r="E50" s="22" t="s">
        <v>20</v>
      </c>
      <c r="F50" s="40" t="s">
        <v>78</v>
      </c>
      <c r="G50" s="112">
        <v>228750</v>
      </c>
      <c r="H50" s="29" t="s">
        <v>298</v>
      </c>
      <c r="I50" s="115">
        <v>42791</v>
      </c>
      <c r="J50" s="112">
        <v>0</v>
      </c>
    </row>
    <row r="51" spans="1:10" s="6" customFormat="1" ht="38.25" x14ac:dyDescent="0.2">
      <c r="A51" s="175">
        <v>45</v>
      </c>
      <c r="B51" s="153" t="s">
        <v>314</v>
      </c>
      <c r="C51" s="40" t="s">
        <v>315</v>
      </c>
      <c r="D51" s="104" t="s">
        <v>316</v>
      </c>
      <c r="E51" s="22" t="s">
        <v>20</v>
      </c>
      <c r="F51" s="40" t="s">
        <v>317</v>
      </c>
      <c r="G51" s="112">
        <v>31845.86</v>
      </c>
      <c r="H51" s="29" t="s">
        <v>318</v>
      </c>
      <c r="I51" s="115">
        <v>42781</v>
      </c>
      <c r="J51" s="112">
        <v>0</v>
      </c>
    </row>
    <row r="52" spans="1:10" s="6" customFormat="1" ht="38.25" x14ac:dyDescent="0.2">
      <c r="A52" s="175">
        <v>46</v>
      </c>
      <c r="B52" s="153" t="s">
        <v>328</v>
      </c>
      <c r="C52" s="40" t="s">
        <v>329</v>
      </c>
      <c r="D52" s="104" t="s">
        <v>330</v>
      </c>
      <c r="E52" s="22" t="s">
        <v>20</v>
      </c>
      <c r="F52" s="104" t="s">
        <v>331</v>
      </c>
      <c r="G52" s="112">
        <v>304705.25</v>
      </c>
      <c r="H52" s="29" t="s">
        <v>332</v>
      </c>
      <c r="I52" s="115">
        <v>42767</v>
      </c>
      <c r="J52" s="112">
        <v>0</v>
      </c>
    </row>
    <row r="53" spans="1:10" s="6" customFormat="1" ht="38.25" x14ac:dyDescent="0.2">
      <c r="A53" s="175">
        <v>47</v>
      </c>
      <c r="B53" s="153" t="s">
        <v>333</v>
      </c>
      <c r="C53" s="40" t="s">
        <v>168</v>
      </c>
      <c r="D53" s="104" t="s">
        <v>1174</v>
      </c>
      <c r="E53" s="22" t="s">
        <v>3</v>
      </c>
      <c r="F53" s="104" t="s">
        <v>331</v>
      </c>
      <c r="G53" s="112">
        <v>559805</v>
      </c>
      <c r="H53" s="29" t="s">
        <v>334</v>
      </c>
      <c r="I53" s="115">
        <v>42755</v>
      </c>
      <c r="J53" s="114">
        <v>0</v>
      </c>
    </row>
    <row r="54" spans="1:10" s="6" customFormat="1" ht="38.25" x14ac:dyDescent="0.2">
      <c r="A54" s="175">
        <v>48</v>
      </c>
      <c r="B54" s="153" t="s">
        <v>335</v>
      </c>
      <c r="C54" s="40" t="s">
        <v>168</v>
      </c>
      <c r="D54" s="104" t="s">
        <v>1174</v>
      </c>
      <c r="E54" s="22" t="s">
        <v>3</v>
      </c>
      <c r="F54" s="40" t="s">
        <v>336</v>
      </c>
      <c r="G54" s="112">
        <v>290476</v>
      </c>
      <c r="H54" s="29" t="s">
        <v>337</v>
      </c>
      <c r="I54" s="115">
        <v>42755</v>
      </c>
      <c r="J54" s="112">
        <v>0</v>
      </c>
    </row>
    <row r="55" spans="1:10" s="6" customFormat="1" ht="38.25" x14ac:dyDescent="0.2">
      <c r="A55" s="175">
        <v>49</v>
      </c>
      <c r="B55" s="153" t="s">
        <v>338</v>
      </c>
      <c r="C55" s="40" t="s">
        <v>168</v>
      </c>
      <c r="D55" s="104" t="s">
        <v>1174</v>
      </c>
      <c r="E55" s="22" t="s">
        <v>3</v>
      </c>
      <c r="F55" s="40" t="s">
        <v>339</v>
      </c>
      <c r="G55" s="112">
        <v>319500</v>
      </c>
      <c r="H55" s="29" t="s">
        <v>340</v>
      </c>
      <c r="I55" s="115">
        <v>42755</v>
      </c>
      <c r="J55" s="112">
        <v>0</v>
      </c>
    </row>
    <row r="56" spans="1:10" s="6" customFormat="1" ht="38.25" x14ac:dyDescent="0.2">
      <c r="A56" s="175">
        <v>50</v>
      </c>
      <c r="B56" s="153" t="s">
        <v>341</v>
      </c>
      <c r="C56" s="40" t="s">
        <v>168</v>
      </c>
      <c r="D56" s="104" t="s">
        <v>1174</v>
      </c>
      <c r="E56" s="22" t="s">
        <v>3</v>
      </c>
      <c r="F56" s="40" t="s">
        <v>49</v>
      </c>
      <c r="G56" s="112">
        <v>56651.11</v>
      </c>
      <c r="H56" s="29" t="s">
        <v>342</v>
      </c>
      <c r="I56" s="115">
        <v>42755</v>
      </c>
      <c r="J56" s="112">
        <v>0</v>
      </c>
    </row>
    <row r="57" spans="1:10" s="6" customFormat="1" ht="38.25" x14ac:dyDescent="0.2">
      <c r="A57" s="175">
        <v>51</v>
      </c>
      <c r="B57" s="153" t="s">
        <v>343</v>
      </c>
      <c r="C57" s="40" t="s">
        <v>168</v>
      </c>
      <c r="D57" s="104" t="s">
        <v>1174</v>
      </c>
      <c r="E57" s="22" t="s">
        <v>3</v>
      </c>
      <c r="F57" s="40" t="s">
        <v>344</v>
      </c>
      <c r="G57" s="112">
        <v>15622.5</v>
      </c>
      <c r="H57" s="29" t="s">
        <v>345</v>
      </c>
      <c r="I57" s="115">
        <v>42755</v>
      </c>
      <c r="J57" s="112">
        <v>6125</v>
      </c>
    </row>
    <row r="58" spans="1:10" s="6" customFormat="1" ht="38.25" x14ac:dyDescent="0.2">
      <c r="A58" s="175">
        <v>52</v>
      </c>
      <c r="B58" s="153" t="s">
        <v>346</v>
      </c>
      <c r="C58" s="40" t="s">
        <v>168</v>
      </c>
      <c r="D58" s="104" t="s">
        <v>1174</v>
      </c>
      <c r="E58" s="22" t="s">
        <v>3</v>
      </c>
      <c r="F58" s="40" t="s">
        <v>347</v>
      </c>
      <c r="G58" s="112">
        <v>186283</v>
      </c>
      <c r="H58" s="29" t="s">
        <v>348</v>
      </c>
      <c r="I58" s="115">
        <v>42755</v>
      </c>
      <c r="J58" s="112">
        <v>0</v>
      </c>
    </row>
    <row r="59" spans="1:10" s="6" customFormat="1" ht="38.25" x14ac:dyDescent="0.2">
      <c r="A59" s="175">
        <v>53</v>
      </c>
      <c r="B59" s="153" t="s">
        <v>349</v>
      </c>
      <c r="C59" s="40" t="s">
        <v>168</v>
      </c>
      <c r="D59" s="104" t="s">
        <v>1174</v>
      </c>
      <c r="E59" s="22" t="s">
        <v>3</v>
      </c>
      <c r="F59" s="40" t="s">
        <v>347</v>
      </c>
      <c r="G59" s="112">
        <v>61251.25</v>
      </c>
      <c r="H59" s="29" t="s">
        <v>350</v>
      </c>
      <c r="I59" s="115">
        <v>42755</v>
      </c>
      <c r="J59" s="112">
        <v>0</v>
      </c>
    </row>
    <row r="60" spans="1:10" s="6" customFormat="1" ht="38.25" x14ac:dyDescent="0.2">
      <c r="A60" s="175">
        <v>54</v>
      </c>
      <c r="B60" s="153" t="s">
        <v>358</v>
      </c>
      <c r="C60" s="40" t="s">
        <v>359</v>
      </c>
      <c r="D60" s="104" t="s">
        <v>360</v>
      </c>
      <c r="E60" s="22" t="s">
        <v>3</v>
      </c>
      <c r="F60" s="40" t="s">
        <v>41</v>
      </c>
      <c r="G60" s="112">
        <v>818525</v>
      </c>
      <c r="H60" s="29" t="s">
        <v>361</v>
      </c>
      <c r="I60" s="115">
        <v>42781</v>
      </c>
      <c r="J60" s="112">
        <v>0</v>
      </c>
    </row>
    <row r="61" spans="1:10" s="6" customFormat="1" ht="38.25" x14ac:dyDescent="0.2">
      <c r="A61" s="175">
        <v>55</v>
      </c>
      <c r="B61" s="152" t="s">
        <v>364</v>
      </c>
      <c r="C61" s="40" t="s">
        <v>297</v>
      </c>
      <c r="D61" s="104" t="s">
        <v>362</v>
      </c>
      <c r="E61" s="22" t="s">
        <v>20</v>
      </c>
      <c r="F61" s="40" t="s">
        <v>261</v>
      </c>
      <c r="G61" s="112">
        <v>174105.5</v>
      </c>
      <c r="H61" s="29" t="s">
        <v>363</v>
      </c>
      <c r="I61" s="115">
        <v>42972</v>
      </c>
      <c r="J61" s="112">
        <v>0</v>
      </c>
    </row>
    <row r="62" spans="1:10" s="6" customFormat="1" ht="38.25" x14ac:dyDescent="0.2">
      <c r="A62" s="175">
        <v>56</v>
      </c>
      <c r="B62" s="153" t="s">
        <v>367</v>
      </c>
      <c r="C62" s="40" t="s">
        <v>359</v>
      </c>
      <c r="D62" s="104" t="s">
        <v>360</v>
      </c>
      <c r="E62" s="22" t="s">
        <v>3</v>
      </c>
      <c r="F62" s="40" t="s">
        <v>368</v>
      </c>
      <c r="G62" s="112">
        <v>673507.31</v>
      </c>
      <c r="H62" s="29" t="s">
        <v>369</v>
      </c>
      <c r="I62" s="115">
        <v>42781</v>
      </c>
      <c r="J62" s="112">
        <v>0</v>
      </c>
    </row>
    <row r="63" spans="1:10" s="6" customFormat="1" ht="38.25" x14ac:dyDescent="0.2">
      <c r="A63" s="175">
        <v>57</v>
      </c>
      <c r="B63" s="153" t="s">
        <v>372</v>
      </c>
      <c r="C63" s="40" t="s">
        <v>373</v>
      </c>
      <c r="D63" s="104" t="s">
        <v>374</v>
      </c>
      <c r="E63" s="22" t="s">
        <v>20</v>
      </c>
      <c r="F63" s="40" t="s">
        <v>375</v>
      </c>
      <c r="G63" s="112">
        <v>5467.5</v>
      </c>
      <c r="H63" s="29" t="s">
        <v>376</v>
      </c>
      <c r="I63" s="115">
        <v>42795</v>
      </c>
      <c r="J63" s="112">
        <v>0</v>
      </c>
    </row>
    <row r="64" spans="1:10" s="6" customFormat="1" ht="38.25" x14ac:dyDescent="0.2">
      <c r="A64" s="175">
        <v>58</v>
      </c>
      <c r="B64" s="152" t="s">
        <v>377</v>
      </c>
      <c r="C64" s="40" t="s">
        <v>378</v>
      </c>
      <c r="D64" s="104" t="s">
        <v>379</v>
      </c>
      <c r="E64" s="22" t="s">
        <v>20</v>
      </c>
      <c r="F64" s="40" t="s">
        <v>78</v>
      </c>
      <c r="G64" s="112">
        <v>1995000</v>
      </c>
      <c r="H64" s="29" t="s">
        <v>380</v>
      </c>
      <c r="I64" s="115" t="s">
        <v>4204</v>
      </c>
      <c r="J64" s="112">
        <v>1995000</v>
      </c>
    </row>
    <row r="65" spans="1:10" s="6" customFormat="1" ht="38.25" x14ac:dyDescent="0.2">
      <c r="A65" s="175">
        <v>59</v>
      </c>
      <c r="B65" s="153" t="s">
        <v>381</v>
      </c>
      <c r="C65" s="40" t="s">
        <v>382</v>
      </c>
      <c r="D65" s="104" t="s">
        <v>360</v>
      </c>
      <c r="E65" s="22" t="s">
        <v>3</v>
      </c>
      <c r="F65" s="40" t="s">
        <v>385</v>
      </c>
      <c r="G65" s="112">
        <v>52306.26</v>
      </c>
      <c r="H65" s="29" t="s">
        <v>383</v>
      </c>
      <c r="I65" s="115">
        <v>42781</v>
      </c>
      <c r="J65" s="112">
        <v>0</v>
      </c>
    </row>
    <row r="66" spans="1:10" s="6" customFormat="1" ht="38.25" x14ac:dyDescent="0.2">
      <c r="A66" s="175">
        <v>60</v>
      </c>
      <c r="B66" s="153" t="s">
        <v>384</v>
      </c>
      <c r="C66" s="40" t="s">
        <v>382</v>
      </c>
      <c r="D66" s="104" t="s">
        <v>360</v>
      </c>
      <c r="E66" s="22" t="s">
        <v>3</v>
      </c>
      <c r="F66" s="40" t="s">
        <v>385</v>
      </c>
      <c r="G66" s="112">
        <v>666779.26</v>
      </c>
      <c r="H66" s="29" t="s">
        <v>386</v>
      </c>
      <c r="I66" s="115">
        <v>42781</v>
      </c>
      <c r="J66" s="112">
        <v>0</v>
      </c>
    </row>
    <row r="67" spans="1:10" s="6" customFormat="1" ht="38.25" x14ac:dyDescent="0.2">
      <c r="A67" s="175">
        <v>61</v>
      </c>
      <c r="B67" s="153" t="s">
        <v>387</v>
      </c>
      <c r="C67" s="40" t="s">
        <v>382</v>
      </c>
      <c r="D67" s="104" t="s">
        <v>360</v>
      </c>
      <c r="E67" s="22" t="s">
        <v>3</v>
      </c>
      <c r="F67" s="40" t="s">
        <v>385</v>
      </c>
      <c r="G67" s="112">
        <v>56300</v>
      </c>
      <c r="H67" s="29" t="s">
        <v>388</v>
      </c>
      <c r="I67" s="115">
        <v>42781</v>
      </c>
      <c r="J67" s="112">
        <v>0</v>
      </c>
    </row>
    <row r="68" spans="1:10" s="6" customFormat="1" ht="38.25" x14ac:dyDescent="0.2">
      <c r="A68" s="175">
        <v>62</v>
      </c>
      <c r="B68" s="153" t="s">
        <v>389</v>
      </c>
      <c r="C68" s="40" t="s">
        <v>382</v>
      </c>
      <c r="D68" s="104" t="s">
        <v>360</v>
      </c>
      <c r="E68" s="22" t="s">
        <v>3</v>
      </c>
      <c r="F68" s="40" t="s">
        <v>390</v>
      </c>
      <c r="G68" s="112">
        <v>624956.25</v>
      </c>
      <c r="H68" s="29" t="s">
        <v>391</v>
      </c>
      <c r="I68" s="115">
        <v>42781</v>
      </c>
      <c r="J68" s="112">
        <v>0</v>
      </c>
    </row>
    <row r="69" spans="1:10" s="6" customFormat="1" ht="38.25" x14ac:dyDescent="0.2">
      <c r="A69" s="175">
        <v>63</v>
      </c>
      <c r="B69" s="153" t="s">
        <v>392</v>
      </c>
      <c r="C69" s="40" t="s">
        <v>382</v>
      </c>
      <c r="D69" s="104" t="s">
        <v>360</v>
      </c>
      <c r="E69" s="22" t="s">
        <v>3</v>
      </c>
      <c r="F69" s="40" t="s">
        <v>390</v>
      </c>
      <c r="G69" s="112">
        <v>199258.75</v>
      </c>
      <c r="H69" s="29" t="s">
        <v>393</v>
      </c>
      <c r="I69" s="115">
        <v>42781</v>
      </c>
      <c r="J69" s="112">
        <v>0</v>
      </c>
    </row>
    <row r="70" spans="1:10" s="6" customFormat="1" ht="38.25" x14ac:dyDescent="0.2">
      <c r="A70" s="175">
        <v>64</v>
      </c>
      <c r="B70" s="152" t="s">
        <v>394</v>
      </c>
      <c r="C70" s="40" t="s">
        <v>373</v>
      </c>
      <c r="D70" s="104" t="s">
        <v>4209</v>
      </c>
      <c r="E70" s="22" t="s">
        <v>20</v>
      </c>
      <c r="F70" s="40" t="s">
        <v>62</v>
      </c>
      <c r="G70" s="112">
        <v>4687.5</v>
      </c>
      <c r="H70" s="29" t="s">
        <v>395</v>
      </c>
      <c r="I70" s="115">
        <v>42795</v>
      </c>
      <c r="J70" s="114">
        <v>0</v>
      </c>
    </row>
    <row r="71" spans="1:10" s="6" customFormat="1" ht="38.25" x14ac:dyDescent="0.2">
      <c r="A71" s="175">
        <v>65</v>
      </c>
      <c r="B71" s="152" t="s">
        <v>396</v>
      </c>
      <c r="C71" s="40" t="s">
        <v>373</v>
      </c>
      <c r="D71" s="104" t="s">
        <v>4209</v>
      </c>
      <c r="E71" s="22" t="s">
        <v>20</v>
      </c>
      <c r="F71" s="40" t="s">
        <v>78</v>
      </c>
      <c r="G71" s="112">
        <v>24631.25</v>
      </c>
      <c r="H71" s="29" t="s">
        <v>397</v>
      </c>
      <c r="I71" s="115">
        <v>42795</v>
      </c>
      <c r="J71" s="112">
        <v>0</v>
      </c>
    </row>
    <row r="72" spans="1:10" s="6" customFormat="1" ht="38.25" x14ac:dyDescent="0.2">
      <c r="A72" s="175">
        <v>66</v>
      </c>
      <c r="B72" s="153" t="s">
        <v>407</v>
      </c>
      <c r="C72" s="40" t="s">
        <v>408</v>
      </c>
      <c r="D72" s="104" t="s">
        <v>423</v>
      </c>
      <c r="E72" s="22" t="s">
        <v>20</v>
      </c>
      <c r="F72" s="40" t="s">
        <v>49</v>
      </c>
      <c r="G72" s="112">
        <v>4063.5</v>
      </c>
      <c r="H72" s="29" t="s">
        <v>409</v>
      </c>
      <c r="I72" s="115">
        <v>42801</v>
      </c>
      <c r="J72" s="114">
        <v>0</v>
      </c>
    </row>
    <row r="73" spans="1:10" s="6" customFormat="1" ht="38.25" x14ac:dyDescent="0.2">
      <c r="A73" s="175">
        <v>67</v>
      </c>
      <c r="B73" s="153" t="s">
        <v>410</v>
      </c>
      <c r="C73" s="40" t="s">
        <v>408</v>
      </c>
      <c r="D73" s="104" t="s">
        <v>423</v>
      </c>
      <c r="E73" s="22" t="s">
        <v>20</v>
      </c>
      <c r="F73" s="40" t="s">
        <v>411</v>
      </c>
      <c r="G73" s="112">
        <v>17750</v>
      </c>
      <c r="H73" s="29" t="s">
        <v>412</v>
      </c>
      <c r="I73" s="115">
        <v>42801</v>
      </c>
      <c r="J73" s="112">
        <v>0</v>
      </c>
    </row>
    <row r="74" spans="1:10" s="6" customFormat="1" ht="38.25" x14ac:dyDescent="0.2">
      <c r="A74" s="175">
        <v>68</v>
      </c>
      <c r="B74" s="153" t="s">
        <v>413</v>
      </c>
      <c r="C74" s="40" t="s">
        <v>408</v>
      </c>
      <c r="D74" s="104" t="s">
        <v>423</v>
      </c>
      <c r="E74" s="22" t="s">
        <v>20</v>
      </c>
      <c r="F74" s="40" t="s">
        <v>78</v>
      </c>
      <c r="G74" s="112">
        <v>130200</v>
      </c>
      <c r="H74" s="29" t="s">
        <v>414</v>
      </c>
      <c r="I74" s="115">
        <v>42801</v>
      </c>
      <c r="J74" s="112">
        <v>0</v>
      </c>
    </row>
    <row r="75" spans="1:10" s="6" customFormat="1" ht="38.25" x14ac:dyDescent="0.2">
      <c r="A75" s="175">
        <v>69</v>
      </c>
      <c r="B75" s="153" t="s">
        <v>415</v>
      </c>
      <c r="C75" s="40" t="s">
        <v>416</v>
      </c>
      <c r="D75" s="104" t="s">
        <v>422</v>
      </c>
      <c r="E75" s="22" t="s">
        <v>20</v>
      </c>
      <c r="F75" s="40" t="s">
        <v>417</v>
      </c>
      <c r="G75" s="112">
        <v>3097.5</v>
      </c>
      <c r="H75" s="29" t="s">
        <v>418</v>
      </c>
      <c r="I75" s="115">
        <v>42795</v>
      </c>
      <c r="J75" s="112">
        <v>0</v>
      </c>
    </row>
    <row r="76" spans="1:10" s="6" customFormat="1" ht="38.25" x14ac:dyDescent="0.2">
      <c r="A76" s="175">
        <v>70</v>
      </c>
      <c r="B76" s="153" t="s">
        <v>419</v>
      </c>
      <c r="C76" s="40" t="s">
        <v>420</v>
      </c>
      <c r="D76" s="104" t="s">
        <v>421</v>
      </c>
      <c r="E76" s="22" t="s">
        <v>20</v>
      </c>
      <c r="F76" s="40" t="s">
        <v>78</v>
      </c>
      <c r="G76" s="112">
        <v>20792</v>
      </c>
      <c r="H76" s="29" t="s">
        <v>414</v>
      </c>
      <c r="I76" s="115">
        <v>42801</v>
      </c>
      <c r="J76" s="112">
        <v>0</v>
      </c>
    </row>
    <row r="77" spans="1:10" s="6" customFormat="1" ht="38.25" x14ac:dyDescent="0.2">
      <c r="A77" s="175">
        <v>71</v>
      </c>
      <c r="B77" s="153" t="s">
        <v>424</v>
      </c>
      <c r="C77" s="40" t="s">
        <v>382</v>
      </c>
      <c r="D77" s="104" t="s">
        <v>360</v>
      </c>
      <c r="E77" s="22" t="s">
        <v>20</v>
      </c>
      <c r="F77" s="40" t="s">
        <v>425</v>
      </c>
      <c r="G77" s="112">
        <v>247838</v>
      </c>
      <c r="H77" s="29" t="s">
        <v>426</v>
      </c>
      <c r="I77" s="185">
        <v>42781</v>
      </c>
      <c r="J77" s="112">
        <v>0</v>
      </c>
    </row>
    <row r="78" spans="1:10" s="6" customFormat="1" ht="38.25" x14ac:dyDescent="0.2">
      <c r="A78" s="175">
        <v>72</v>
      </c>
      <c r="B78" s="153" t="s">
        <v>427</v>
      </c>
      <c r="C78" s="40" t="s">
        <v>428</v>
      </c>
      <c r="D78" s="104" t="s">
        <v>4210</v>
      </c>
      <c r="E78" s="22" t="s">
        <v>3</v>
      </c>
      <c r="F78" s="40" t="s">
        <v>429</v>
      </c>
      <c r="G78" s="112">
        <v>6375500</v>
      </c>
      <c r="H78" s="29" t="s">
        <v>430</v>
      </c>
      <c r="I78" s="185" t="s">
        <v>431</v>
      </c>
      <c r="J78" s="112">
        <v>2024580.34</v>
      </c>
    </row>
    <row r="79" spans="1:10" s="6" customFormat="1" ht="38.25" x14ac:dyDescent="0.2">
      <c r="A79" s="175">
        <v>73</v>
      </c>
      <c r="B79" s="153" t="s">
        <v>432</v>
      </c>
      <c r="C79" s="40" t="s">
        <v>433</v>
      </c>
      <c r="D79" s="104" t="s">
        <v>434</v>
      </c>
      <c r="E79" s="22" t="s">
        <v>20</v>
      </c>
      <c r="F79" s="40" t="s">
        <v>211</v>
      </c>
      <c r="G79" s="112">
        <v>3825</v>
      </c>
      <c r="H79" s="29" t="s">
        <v>435</v>
      </c>
      <c r="I79" s="115">
        <v>42801</v>
      </c>
      <c r="J79" s="114">
        <v>0</v>
      </c>
    </row>
    <row r="80" spans="1:10" s="6" customFormat="1" ht="38.25" x14ac:dyDescent="0.2">
      <c r="A80" s="175">
        <v>74</v>
      </c>
      <c r="B80" s="153" t="s">
        <v>441</v>
      </c>
      <c r="C80" s="40" t="s">
        <v>433</v>
      </c>
      <c r="D80" s="104" t="s">
        <v>434</v>
      </c>
      <c r="E80" s="22" t="s">
        <v>20</v>
      </c>
      <c r="F80" s="40" t="s">
        <v>96</v>
      </c>
      <c r="G80" s="112">
        <v>44932.75</v>
      </c>
      <c r="H80" s="29" t="s">
        <v>442</v>
      </c>
      <c r="I80" s="115">
        <v>42801</v>
      </c>
      <c r="J80" s="112">
        <v>0</v>
      </c>
    </row>
    <row r="81" spans="1:10" s="6" customFormat="1" ht="38.25" x14ac:dyDescent="0.2">
      <c r="A81" s="175">
        <v>75</v>
      </c>
      <c r="B81" s="153" t="s">
        <v>443</v>
      </c>
      <c r="C81" s="40" t="s">
        <v>373</v>
      </c>
      <c r="D81" s="104" t="s">
        <v>422</v>
      </c>
      <c r="E81" s="22" t="s">
        <v>20</v>
      </c>
      <c r="F81" s="40" t="s">
        <v>347</v>
      </c>
      <c r="G81" s="112">
        <v>147660.25</v>
      </c>
      <c r="H81" s="29" t="s">
        <v>444</v>
      </c>
      <c r="I81" s="115">
        <v>42795</v>
      </c>
      <c r="J81" s="112">
        <v>0</v>
      </c>
    </row>
    <row r="82" spans="1:10" s="6" customFormat="1" ht="38.25" x14ac:dyDescent="0.2">
      <c r="A82" s="175">
        <v>76</v>
      </c>
      <c r="B82" s="153" t="s">
        <v>445</v>
      </c>
      <c r="C82" s="40" t="s">
        <v>446</v>
      </c>
      <c r="D82" s="197" t="s">
        <v>4217</v>
      </c>
      <c r="E82" s="22" t="s">
        <v>3</v>
      </c>
      <c r="F82" s="40" t="s">
        <v>447</v>
      </c>
      <c r="G82" s="112">
        <v>2660293</v>
      </c>
      <c r="H82" s="29" t="s">
        <v>448</v>
      </c>
      <c r="I82" s="115">
        <v>42791</v>
      </c>
      <c r="J82" s="112">
        <v>2547231.98</v>
      </c>
    </row>
    <row r="83" spans="1:10" s="6" customFormat="1" ht="38.25" x14ac:dyDescent="0.2">
      <c r="A83" s="175">
        <v>77</v>
      </c>
      <c r="B83" s="153" t="s">
        <v>449</v>
      </c>
      <c r="C83" s="40" t="s">
        <v>450</v>
      </c>
      <c r="D83" s="104" t="s">
        <v>451</v>
      </c>
      <c r="E83" s="22" t="s">
        <v>20</v>
      </c>
      <c r="F83" s="40" t="s">
        <v>452</v>
      </c>
      <c r="G83" s="112">
        <v>1437.5</v>
      </c>
      <c r="H83" s="29" t="s">
        <v>453</v>
      </c>
      <c r="I83" s="115">
        <v>42809</v>
      </c>
      <c r="J83" s="112">
        <v>0</v>
      </c>
    </row>
    <row r="84" spans="1:10" s="6" customFormat="1" ht="38.25" x14ac:dyDescent="0.2">
      <c r="A84" s="175">
        <v>78</v>
      </c>
      <c r="B84" s="153" t="s">
        <v>454</v>
      </c>
      <c r="C84" s="40" t="s">
        <v>450</v>
      </c>
      <c r="D84" s="104" t="s">
        <v>451</v>
      </c>
      <c r="E84" s="22" t="s">
        <v>20</v>
      </c>
      <c r="F84" s="40" t="s">
        <v>452</v>
      </c>
      <c r="G84" s="112">
        <v>90823.75</v>
      </c>
      <c r="H84" s="29" t="s">
        <v>455</v>
      </c>
      <c r="I84" s="115">
        <v>42809</v>
      </c>
      <c r="J84" s="112">
        <v>0</v>
      </c>
    </row>
    <row r="85" spans="1:10" s="6" customFormat="1" ht="38.25" x14ac:dyDescent="0.2">
      <c r="A85" s="175">
        <v>79</v>
      </c>
      <c r="B85" s="153" t="s">
        <v>460</v>
      </c>
      <c r="C85" s="40" t="s">
        <v>382</v>
      </c>
      <c r="D85" s="104" t="s">
        <v>360</v>
      </c>
      <c r="E85" s="22" t="s">
        <v>3</v>
      </c>
      <c r="F85" s="40" t="s">
        <v>461</v>
      </c>
      <c r="G85" s="112">
        <v>562589.25</v>
      </c>
      <c r="H85" s="29" t="s">
        <v>462</v>
      </c>
      <c r="I85" s="115">
        <v>42781</v>
      </c>
      <c r="J85" s="112">
        <v>0</v>
      </c>
    </row>
    <row r="86" spans="1:10" s="6" customFormat="1" ht="38.25" x14ac:dyDescent="0.2">
      <c r="A86" s="175">
        <v>80</v>
      </c>
      <c r="B86" s="153" t="s">
        <v>470</v>
      </c>
      <c r="C86" s="40" t="s">
        <v>382</v>
      </c>
      <c r="D86" s="104" t="s">
        <v>360</v>
      </c>
      <c r="E86" s="22" t="s">
        <v>3</v>
      </c>
      <c r="F86" s="40" t="s">
        <v>331</v>
      </c>
      <c r="G86" s="112">
        <v>491901.25</v>
      </c>
      <c r="H86" s="29" t="s">
        <v>471</v>
      </c>
      <c r="I86" s="115">
        <v>42781</v>
      </c>
      <c r="J86" s="114">
        <v>0</v>
      </c>
    </row>
    <row r="87" spans="1:10" s="6" customFormat="1" ht="38.25" x14ac:dyDescent="0.2">
      <c r="A87" s="175">
        <v>81</v>
      </c>
      <c r="B87" s="153" t="s">
        <v>472</v>
      </c>
      <c r="C87" s="40" t="s">
        <v>473</v>
      </c>
      <c r="D87" s="104" t="s">
        <v>451</v>
      </c>
      <c r="E87" s="22" t="s">
        <v>20</v>
      </c>
      <c r="F87" s="40" t="s">
        <v>45</v>
      </c>
      <c r="G87" s="112">
        <v>105187.5</v>
      </c>
      <c r="H87" s="29" t="s">
        <v>474</v>
      </c>
      <c r="I87" s="115">
        <v>42809</v>
      </c>
      <c r="J87" s="114">
        <v>0</v>
      </c>
    </row>
    <row r="88" spans="1:10" s="6" customFormat="1" ht="38.25" x14ac:dyDescent="0.2">
      <c r="A88" s="175">
        <v>82</v>
      </c>
      <c r="B88" s="153" t="s">
        <v>475</v>
      </c>
      <c r="C88" s="40" t="s">
        <v>476</v>
      </c>
      <c r="D88" s="104" t="s">
        <v>477</v>
      </c>
      <c r="E88" s="22" t="s">
        <v>20</v>
      </c>
      <c r="F88" s="40" t="s">
        <v>45</v>
      </c>
      <c r="G88" s="112">
        <v>13755.45</v>
      </c>
      <c r="H88" s="29" t="s">
        <v>478</v>
      </c>
      <c r="I88" s="115">
        <v>42810</v>
      </c>
      <c r="J88" s="112">
        <v>0</v>
      </c>
    </row>
    <row r="89" spans="1:10" s="6" customFormat="1" ht="38.25" x14ac:dyDescent="0.2">
      <c r="A89" s="175">
        <v>83</v>
      </c>
      <c r="B89" s="153" t="s">
        <v>516</v>
      </c>
      <c r="C89" s="40" t="s">
        <v>517</v>
      </c>
      <c r="D89" s="104" t="s">
        <v>518</v>
      </c>
      <c r="E89" s="22" t="s">
        <v>20</v>
      </c>
      <c r="F89" s="40" t="s">
        <v>519</v>
      </c>
      <c r="G89" s="112">
        <v>1488888</v>
      </c>
      <c r="H89" s="29" t="s">
        <v>520</v>
      </c>
      <c r="I89" s="115">
        <v>42805</v>
      </c>
      <c r="J89" s="112">
        <v>1488888</v>
      </c>
    </row>
    <row r="90" spans="1:10" s="6" customFormat="1" ht="38.25" x14ac:dyDescent="0.2">
      <c r="A90" s="175">
        <v>84</v>
      </c>
      <c r="B90" s="153" t="s">
        <v>554</v>
      </c>
      <c r="C90" s="40" t="s">
        <v>473</v>
      </c>
      <c r="D90" s="104" t="s">
        <v>451</v>
      </c>
      <c r="E90" s="22" t="s">
        <v>20</v>
      </c>
      <c r="F90" s="40" t="s">
        <v>555</v>
      </c>
      <c r="G90" s="112">
        <v>17400</v>
      </c>
      <c r="H90" s="29" t="s">
        <v>556</v>
      </c>
      <c r="I90" s="115">
        <v>42809</v>
      </c>
      <c r="J90" s="112">
        <v>0</v>
      </c>
    </row>
    <row r="91" spans="1:10" s="6" customFormat="1" ht="38.25" x14ac:dyDescent="0.2">
      <c r="A91" s="175">
        <v>85</v>
      </c>
      <c r="B91" s="153" t="s">
        <v>592</v>
      </c>
      <c r="C91" s="116" t="s">
        <v>4206</v>
      </c>
      <c r="D91" s="104" t="s">
        <v>4211</v>
      </c>
      <c r="E91" s="22" t="s">
        <v>3</v>
      </c>
      <c r="F91" s="104" t="s">
        <v>593</v>
      </c>
      <c r="G91" s="112">
        <v>473400</v>
      </c>
      <c r="H91" s="29" t="s">
        <v>595</v>
      </c>
      <c r="I91" s="115">
        <v>42816</v>
      </c>
      <c r="J91" s="112">
        <v>31587.5</v>
      </c>
    </row>
    <row r="92" spans="1:10" s="6" customFormat="1" ht="38.25" x14ac:dyDescent="0.2">
      <c r="A92" s="175">
        <v>86</v>
      </c>
      <c r="B92" s="153" t="s">
        <v>592</v>
      </c>
      <c r="C92" s="116" t="s">
        <v>4206</v>
      </c>
      <c r="D92" s="104" t="s">
        <v>4211</v>
      </c>
      <c r="E92" s="104" t="s">
        <v>0</v>
      </c>
      <c r="F92" s="104" t="s">
        <v>593</v>
      </c>
      <c r="G92" s="112">
        <v>473400</v>
      </c>
      <c r="H92" s="29" t="s">
        <v>594</v>
      </c>
      <c r="I92" s="115">
        <v>42815</v>
      </c>
      <c r="J92" s="186">
        <v>0</v>
      </c>
    </row>
    <row r="93" spans="1:10" s="6" customFormat="1" ht="38.25" x14ac:dyDescent="0.2">
      <c r="A93" s="175">
        <v>87</v>
      </c>
      <c r="B93" s="180" t="s">
        <v>614</v>
      </c>
      <c r="C93" s="40" t="s">
        <v>178</v>
      </c>
      <c r="D93" s="104" t="s">
        <v>180</v>
      </c>
      <c r="E93" s="22" t="s">
        <v>20</v>
      </c>
      <c r="F93" s="40" t="s">
        <v>249</v>
      </c>
      <c r="G93" s="112">
        <v>418657</v>
      </c>
      <c r="H93" s="29" t="s">
        <v>615</v>
      </c>
      <c r="I93" s="115">
        <v>42767</v>
      </c>
      <c r="J93" s="112">
        <v>0</v>
      </c>
    </row>
    <row r="94" spans="1:10" s="6" customFormat="1" ht="38.25" x14ac:dyDescent="0.2">
      <c r="A94" s="175">
        <v>88</v>
      </c>
      <c r="B94" s="180" t="s">
        <v>220</v>
      </c>
      <c r="C94" s="40" t="s">
        <v>178</v>
      </c>
      <c r="D94" s="104" t="s">
        <v>180</v>
      </c>
      <c r="E94" s="22" t="s">
        <v>20</v>
      </c>
      <c r="F94" s="40" t="s">
        <v>211</v>
      </c>
      <c r="G94" s="112">
        <v>13434.23</v>
      </c>
      <c r="H94" s="29" t="s">
        <v>615</v>
      </c>
      <c r="I94" s="115">
        <v>42767</v>
      </c>
      <c r="J94" s="112">
        <v>0</v>
      </c>
    </row>
    <row r="95" spans="1:10" s="6" customFormat="1" ht="38.25" x14ac:dyDescent="0.2">
      <c r="A95" s="175">
        <v>89</v>
      </c>
      <c r="B95" s="153" t="s">
        <v>626</v>
      </c>
      <c r="C95" s="40" t="s">
        <v>627</v>
      </c>
      <c r="D95" s="104" t="s">
        <v>1081</v>
      </c>
      <c r="E95" s="22" t="s">
        <v>20</v>
      </c>
      <c r="F95" s="40" t="s">
        <v>49</v>
      </c>
      <c r="G95" s="112">
        <v>1533512.5</v>
      </c>
      <c r="H95" s="29" t="s">
        <v>628</v>
      </c>
      <c r="I95" s="115">
        <v>42825</v>
      </c>
      <c r="J95" s="114">
        <v>638963.5</v>
      </c>
    </row>
    <row r="96" spans="1:10" s="6" customFormat="1" ht="38.25" x14ac:dyDescent="0.2">
      <c r="A96" s="175">
        <v>90</v>
      </c>
      <c r="B96" s="153" t="s">
        <v>629</v>
      </c>
      <c r="C96" s="40" t="s">
        <v>630</v>
      </c>
      <c r="D96" s="104" t="s">
        <v>4212</v>
      </c>
      <c r="E96" s="22" t="s">
        <v>20</v>
      </c>
      <c r="F96" s="40" t="s">
        <v>138</v>
      </c>
      <c r="G96" s="112">
        <v>62361.99</v>
      </c>
      <c r="H96" s="29" t="s">
        <v>631</v>
      </c>
      <c r="I96" s="115">
        <v>42825</v>
      </c>
      <c r="J96" s="112">
        <v>0</v>
      </c>
    </row>
    <row r="97" spans="1:10" s="6" customFormat="1" ht="38.25" x14ac:dyDescent="0.2">
      <c r="A97" s="175">
        <v>91</v>
      </c>
      <c r="B97" s="153" t="s">
        <v>632</v>
      </c>
      <c r="C97" s="40" t="s">
        <v>633</v>
      </c>
      <c r="D97" s="104" t="s">
        <v>4213</v>
      </c>
      <c r="E97" s="22" t="s">
        <v>3</v>
      </c>
      <c r="F97" s="104" t="s">
        <v>634</v>
      </c>
      <c r="G97" s="112">
        <v>500000</v>
      </c>
      <c r="H97" s="29" t="s">
        <v>635</v>
      </c>
      <c r="I97" s="115">
        <v>42826</v>
      </c>
      <c r="J97" s="112">
        <v>291666.62</v>
      </c>
    </row>
    <row r="98" spans="1:10" s="6" customFormat="1" ht="38.25" x14ac:dyDescent="0.2">
      <c r="A98" s="175">
        <v>92</v>
      </c>
      <c r="B98" s="153" t="s">
        <v>643</v>
      </c>
      <c r="C98" s="40" t="s">
        <v>644</v>
      </c>
      <c r="D98" s="104" t="s">
        <v>646</v>
      </c>
      <c r="E98" s="22" t="s">
        <v>20</v>
      </c>
      <c r="F98" s="40" t="s">
        <v>645</v>
      </c>
      <c r="G98" s="112">
        <v>43625</v>
      </c>
      <c r="H98" s="29" t="s">
        <v>647</v>
      </c>
      <c r="I98" s="115">
        <v>42825</v>
      </c>
      <c r="J98" s="112">
        <v>31125</v>
      </c>
    </row>
    <row r="99" spans="1:10" s="6" customFormat="1" ht="38.25" x14ac:dyDescent="0.2">
      <c r="A99" s="175">
        <v>93</v>
      </c>
      <c r="B99" s="153" t="s">
        <v>648</v>
      </c>
      <c r="C99" s="40" t="s">
        <v>649</v>
      </c>
      <c r="D99" s="104" t="s">
        <v>650</v>
      </c>
      <c r="E99" s="22" t="s">
        <v>3</v>
      </c>
      <c r="F99" s="40" t="s">
        <v>651</v>
      </c>
      <c r="G99" s="112">
        <v>852000</v>
      </c>
      <c r="H99" s="29" t="s">
        <v>652</v>
      </c>
      <c r="I99" s="115">
        <v>42847</v>
      </c>
      <c r="J99" s="112">
        <v>496037.5</v>
      </c>
    </row>
    <row r="100" spans="1:10" s="6" customFormat="1" ht="38.25" x14ac:dyDescent="0.2">
      <c r="A100" s="175">
        <v>94</v>
      </c>
      <c r="B100" s="153" t="s">
        <v>669</v>
      </c>
      <c r="C100" s="40" t="s">
        <v>670</v>
      </c>
      <c r="D100" s="104" t="s">
        <v>4255</v>
      </c>
      <c r="E100" s="22" t="s">
        <v>20</v>
      </c>
      <c r="F100" s="40" t="s">
        <v>671</v>
      </c>
      <c r="G100" s="112">
        <v>799500</v>
      </c>
      <c r="H100" s="29" t="s">
        <v>672</v>
      </c>
      <c r="I100" s="115" t="s">
        <v>4205</v>
      </c>
      <c r="J100" s="112">
        <v>0</v>
      </c>
    </row>
    <row r="101" spans="1:10" s="6" customFormat="1" ht="38.25" x14ac:dyDescent="0.2">
      <c r="A101" s="175">
        <v>95</v>
      </c>
      <c r="B101" s="153" t="s">
        <v>675</v>
      </c>
      <c r="C101" s="40" t="s">
        <v>644</v>
      </c>
      <c r="D101" s="104" t="s">
        <v>646</v>
      </c>
      <c r="E101" s="22" t="s">
        <v>20</v>
      </c>
      <c r="F101" s="40" t="s">
        <v>676</v>
      </c>
      <c r="G101" s="112">
        <v>274350</v>
      </c>
      <c r="H101" s="29" t="s">
        <v>677</v>
      </c>
      <c r="I101" s="115">
        <v>42825</v>
      </c>
      <c r="J101" s="112">
        <v>160037.5</v>
      </c>
    </row>
    <row r="102" spans="1:10" s="6" customFormat="1" ht="38.25" x14ac:dyDescent="0.2">
      <c r="A102" s="175">
        <v>96</v>
      </c>
      <c r="B102" s="153" t="s">
        <v>714</v>
      </c>
      <c r="C102" s="40" t="s">
        <v>373</v>
      </c>
      <c r="D102" s="104" t="s">
        <v>715</v>
      </c>
      <c r="E102" s="22" t="s">
        <v>20</v>
      </c>
      <c r="F102" s="40" t="s">
        <v>716</v>
      </c>
      <c r="G102" s="112">
        <v>61584.73</v>
      </c>
      <c r="H102" s="29" t="s">
        <v>717</v>
      </c>
      <c r="I102" s="115">
        <v>42850</v>
      </c>
      <c r="J102" s="112">
        <v>0</v>
      </c>
    </row>
    <row r="103" spans="1:10" s="6" customFormat="1" ht="38.25" x14ac:dyDescent="0.2">
      <c r="A103" s="175">
        <v>97</v>
      </c>
      <c r="B103" s="153" t="s">
        <v>718</v>
      </c>
      <c r="C103" s="40" t="s">
        <v>373</v>
      </c>
      <c r="D103" s="104" t="s">
        <v>715</v>
      </c>
      <c r="E103" s="22" t="s">
        <v>20</v>
      </c>
      <c r="F103" s="40" t="s">
        <v>716</v>
      </c>
      <c r="G103" s="112">
        <v>388.75</v>
      </c>
      <c r="H103" s="29" t="s">
        <v>719</v>
      </c>
      <c r="I103" s="115">
        <v>42850</v>
      </c>
      <c r="J103" s="112">
        <v>0</v>
      </c>
    </row>
    <row r="104" spans="1:10" s="6" customFormat="1" ht="38.25" x14ac:dyDescent="0.2">
      <c r="A104" s="175">
        <v>98</v>
      </c>
      <c r="B104" s="153" t="s">
        <v>720</v>
      </c>
      <c r="C104" s="40" t="s">
        <v>373</v>
      </c>
      <c r="D104" s="104" t="s">
        <v>715</v>
      </c>
      <c r="E104" s="22" t="s">
        <v>20</v>
      </c>
      <c r="F104" s="40" t="s">
        <v>78</v>
      </c>
      <c r="G104" s="112">
        <v>8196</v>
      </c>
      <c r="H104" s="29" t="s">
        <v>721</v>
      </c>
      <c r="I104" s="115">
        <v>42850</v>
      </c>
      <c r="J104" s="112">
        <v>0</v>
      </c>
    </row>
    <row r="105" spans="1:10" s="6" customFormat="1" ht="38.25" x14ac:dyDescent="0.2">
      <c r="A105" s="175">
        <v>99</v>
      </c>
      <c r="B105" s="153" t="s">
        <v>722</v>
      </c>
      <c r="C105" s="40" t="s">
        <v>373</v>
      </c>
      <c r="D105" s="104" t="s">
        <v>715</v>
      </c>
      <c r="E105" s="22" t="s">
        <v>20</v>
      </c>
      <c r="F105" s="40" t="s">
        <v>138</v>
      </c>
      <c r="G105" s="112">
        <v>90860.38</v>
      </c>
      <c r="H105" s="29" t="s">
        <v>723</v>
      </c>
      <c r="I105" s="115">
        <v>42850</v>
      </c>
      <c r="J105" s="112">
        <v>0</v>
      </c>
    </row>
    <row r="106" spans="1:10" s="6" customFormat="1" ht="38.25" x14ac:dyDescent="0.2">
      <c r="A106" s="175">
        <v>100</v>
      </c>
      <c r="B106" s="153" t="s">
        <v>726</v>
      </c>
      <c r="C106" s="40" t="s">
        <v>373</v>
      </c>
      <c r="D106" s="104" t="s">
        <v>715</v>
      </c>
      <c r="E106" s="22" t="s">
        <v>20</v>
      </c>
      <c r="F106" s="40" t="s">
        <v>724</v>
      </c>
      <c r="G106" s="112">
        <v>64925</v>
      </c>
      <c r="H106" s="29" t="s">
        <v>725</v>
      </c>
      <c r="I106" s="115">
        <v>42850</v>
      </c>
      <c r="J106" s="112">
        <v>0</v>
      </c>
    </row>
    <row r="107" spans="1:10" s="6" customFormat="1" ht="38.25" x14ac:dyDescent="0.2">
      <c r="A107" s="175">
        <v>101</v>
      </c>
      <c r="B107" s="153" t="s">
        <v>731</v>
      </c>
      <c r="C107" s="40" t="s">
        <v>373</v>
      </c>
      <c r="D107" s="104" t="s">
        <v>715</v>
      </c>
      <c r="E107" s="22" t="s">
        <v>20</v>
      </c>
      <c r="F107" s="40" t="s">
        <v>49</v>
      </c>
      <c r="G107" s="112">
        <v>220905</v>
      </c>
      <c r="H107" s="29" t="s">
        <v>732</v>
      </c>
      <c r="I107" s="115">
        <v>42850</v>
      </c>
      <c r="J107" s="114">
        <v>0</v>
      </c>
    </row>
    <row r="108" spans="1:10" s="6" customFormat="1" ht="38.25" x14ac:dyDescent="0.2">
      <c r="A108" s="175">
        <v>102</v>
      </c>
      <c r="B108" s="153" t="s">
        <v>733</v>
      </c>
      <c r="C108" s="40" t="s">
        <v>373</v>
      </c>
      <c r="D108" s="104" t="s">
        <v>715</v>
      </c>
      <c r="E108" s="22" t="s">
        <v>20</v>
      </c>
      <c r="F108" s="40" t="s">
        <v>417</v>
      </c>
      <c r="G108" s="112">
        <v>185</v>
      </c>
      <c r="H108" s="29" t="s">
        <v>734</v>
      </c>
      <c r="I108" s="115">
        <v>42850</v>
      </c>
      <c r="J108" s="112">
        <v>0</v>
      </c>
    </row>
    <row r="109" spans="1:10" s="6" customFormat="1" ht="38.25" x14ac:dyDescent="0.2">
      <c r="A109" s="175">
        <v>103</v>
      </c>
      <c r="B109" s="153" t="s">
        <v>735</v>
      </c>
      <c r="C109" s="40" t="s">
        <v>736</v>
      </c>
      <c r="D109" s="104"/>
      <c r="E109" s="22" t="s">
        <v>4270</v>
      </c>
      <c r="F109" s="104" t="s">
        <v>737</v>
      </c>
      <c r="G109" s="112">
        <v>483437.5</v>
      </c>
      <c r="H109" s="29" t="s">
        <v>738</v>
      </c>
      <c r="I109" s="115">
        <v>42832</v>
      </c>
      <c r="J109" s="112">
        <v>94730</v>
      </c>
    </row>
    <row r="110" spans="1:10" s="6" customFormat="1" ht="38.25" x14ac:dyDescent="0.2">
      <c r="A110" s="175">
        <v>104</v>
      </c>
      <c r="B110" s="153" t="s">
        <v>743</v>
      </c>
      <c r="C110" s="40" t="s">
        <v>744</v>
      </c>
      <c r="D110" s="104" t="s">
        <v>745</v>
      </c>
      <c r="E110" s="22" t="s">
        <v>20</v>
      </c>
      <c r="F110" s="40" t="s">
        <v>240</v>
      </c>
      <c r="G110" s="112">
        <v>984585</v>
      </c>
      <c r="H110" s="29" t="s">
        <v>746</v>
      </c>
      <c r="I110" s="115">
        <v>42850</v>
      </c>
      <c r="J110" s="112">
        <v>0</v>
      </c>
    </row>
    <row r="111" spans="1:10" s="6" customFormat="1" ht="38.25" x14ac:dyDescent="0.2">
      <c r="A111" s="175">
        <v>105</v>
      </c>
      <c r="B111" s="153" t="s">
        <v>747</v>
      </c>
      <c r="C111" s="40" t="s">
        <v>748</v>
      </c>
      <c r="D111" s="104" t="s">
        <v>749</v>
      </c>
      <c r="E111" s="22" t="s">
        <v>20</v>
      </c>
      <c r="F111" s="40" t="s">
        <v>375</v>
      </c>
      <c r="G111" s="112">
        <v>9440</v>
      </c>
      <c r="H111" s="29" t="s">
        <v>750</v>
      </c>
      <c r="I111" s="115">
        <v>42850</v>
      </c>
      <c r="J111" s="112">
        <v>0</v>
      </c>
    </row>
    <row r="112" spans="1:10" s="6" customFormat="1" ht="38.25" x14ac:dyDescent="0.2">
      <c r="A112" s="175">
        <v>106</v>
      </c>
      <c r="B112" s="153" t="s">
        <v>751</v>
      </c>
      <c r="C112" s="40" t="s">
        <v>752</v>
      </c>
      <c r="D112" s="104" t="s">
        <v>753</v>
      </c>
      <c r="E112" s="22" t="s">
        <v>20</v>
      </c>
      <c r="F112" s="40" t="s">
        <v>385</v>
      </c>
      <c r="G112" s="112">
        <v>776745</v>
      </c>
      <c r="H112" s="29" t="s">
        <v>754</v>
      </c>
      <c r="I112" s="115">
        <v>42705</v>
      </c>
      <c r="J112" s="112">
        <v>0</v>
      </c>
    </row>
    <row r="113" spans="1:10" s="6" customFormat="1" ht="38.25" x14ac:dyDescent="0.2">
      <c r="A113" s="175">
        <v>107</v>
      </c>
      <c r="B113" s="153" t="s">
        <v>755</v>
      </c>
      <c r="C113" s="40" t="s">
        <v>748</v>
      </c>
      <c r="D113" s="104" t="s">
        <v>756</v>
      </c>
      <c r="E113" s="22" t="s">
        <v>20</v>
      </c>
      <c r="F113" s="40" t="s">
        <v>347</v>
      </c>
      <c r="G113" s="112">
        <v>44025</v>
      </c>
      <c r="H113" s="29" t="s">
        <v>757</v>
      </c>
      <c r="I113" s="115">
        <v>42850</v>
      </c>
      <c r="J113" s="112">
        <v>0</v>
      </c>
    </row>
    <row r="114" spans="1:10" s="6" customFormat="1" ht="38.25" x14ac:dyDescent="0.2">
      <c r="A114" s="175">
        <v>108</v>
      </c>
      <c r="B114" s="153" t="s">
        <v>758</v>
      </c>
      <c r="C114" s="40" t="s">
        <v>759</v>
      </c>
      <c r="D114" s="104" t="s">
        <v>760</v>
      </c>
      <c r="E114" s="22" t="s">
        <v>3</v>
      </c>
      <c r="F114" s="40" t="s">
        <v>761</v>
      </c>
      <c r="G114" s="112">
        <v>84090</v>
      </c>
      <c r="H114" s="29" t="s">
        <v>762</v>
      </c>
      <c r="I114" s="115">
        <v>42852</v>
      </c>
      <c r="J114" s="114">
        <v>0</v>
      </c>
    </row>
    <row r="115" spans="1:10" s="6" customFormat="1" ht="38.25" x14ac:dyDescent="0.2">
      <c r="A115" s="175">
        <v>109</v>
      </c>
      <c r="B115" s="153" t="s">
        <v>763</v>
      </c>
      <c r="C115" s="40" t="s">
        <v>759</v>
      </c>
      <c r="D115" s="104" t="s">
        <v>760</v>
      </c>
      <c r="E115" s="22" t="s">
        <v>3</v>
      </c>
      <c r="F115" s="40" t="s">
        <v>83</v>
      </c>
      <c r="G115" s="112">
        <v>25264.65</v>
      </c>
      <c r="H115" s="29" t="s">
        <v>764</v>
      </c>
      <c r="I115" s="115">
        <v>42852</v>
      </c>
      <c r="J115" s="114">
        <v>0</v>
      </c>
    </row>
    <row r="116" spans="1:10" s="6" customFormat="1" ht="38.25" x14ac:dyDescent="0.2">
      <c r="A116" s="175">
        <v>110</v>
      </c>
      <c r="B116" s="153" t="s">
        <v>1217</v>
      </c>
      <c r="C116" s="40" t="s">
        <v>769</v>
      </c>
      <c r="D116" s="104" t="s">
        <v>770</v>
      </c>
      <c r="E116" s="22" t="s">
        <v>20</v>
      </c>
      <c r="F116" s="40" t="s">
        <v>353</v>
      </c>
      <c r="G116" s="112">
        <v>26043.72</v>
      </c>
      <c r="H116" s="29" t="s">
        <v>771</v>
      </c>
      <c r="I116" s="115">
        <v>42850</v>
      </c>
      <c r="J116" s="112">
        <v>0</v>
      </c>
    </row>
    <row r="117" spans="1:10" s="6" customFormat="1" ht="38.25" x14ac:dyDescent="0.2">
      <c r="A117" s="175">
        <v>111</v>
      </c>
      <c r="B117" s="153" t="s">
        <v>772</v>
      </c>
      <c r="C117" s="40" t="s">
        <v>748</v>
      </c>
      <c r="D117" s="104" t="s">
        <v>773</v>
      </c>
      <c r="E117" s="22" t="s">
        <v>20</v>
      </c>
      <c r="F117" s="40" t="s">
        <v>716</v>
      </c>
      <c r="G117" s="112">
        <v>87899.38</v>
      </c>
      <c r="H117" s="29" t="s">
        <v>774</v>
      </c>
      <c r="I117" s="115">
        <v>42850</v>
      </c>
      <c r="J117" s="112">
        <v>0</v>
      </c>
    </row>
    <row r="118" spans="1:10" s="6" customFormat="1" ht="38.25" x14ac:dyDescent="0.2">
      <c r="A118" s="175">
        <v>112</v>
      </c>
      <c r="B118" s="153" t="s">
        <v>780</v>
      </c>
      <c r="C118" s="40" t="s">
        <v>781</v>
      </c>
      <c r="D118" s="104" t="s">
        <v>782</v>
      </c>
      <c r="E118" s="22" t="s">
        <v>3</v>
      </c>
      <c r="F118" s="40" t="s">
        <v>783</v>
      </c>
      <c r="G118" s="112">
        <v>686500</v>
      </c>
      <c r="H118" s="29" t="s">
        <v>784</v>
      </c>
      <c r="I118" s="115">
        <v>42860</v>
      </c>
      <c r="J118" s="112">
        <v>343250</v>
      </c>
    </row>
    <row r="119" spans="1:10" s="6" customFormat="1" ht="38.25" x14ac:dyDescent="0.2">
      <c r="A119" s="175">
        <v>113</v>
      </c>
      <c r="B119" s="153" t="s">
        <v>785</v>
      </c>
      <c r="C119" s="40" t="s">
        <v>786</v>
      </c>
      <c r="D119" s="104" t="s">
        <v>787</v>
      </c>
      <c r="E119" s="22" t="s">
        <v>20</v>
      </c>
      <c r="F119" s="104" t="s">
        <v>788</v>
      </c>
      <c r="G119" s="112">
        <f>63040*1.25</f>
        <v>78800</v>
      </c>
      <c r="H119" s="29" t="s">
        <v>789</v>
      </c>
      <c r="I119" s="115">
        <v>42865</v>
      </c>
      <c r="J119" s="112">
        <v>11627.5</v>
      </c>
    </row>
    <row r="120" spans="1:10" s="6" customFormat="1" ht="38.25" x14ac:dyDescent="0.2">
      <c r="A120" s="175">
        <v>114</v>
      </c>
      <c r="B120" s="153" t="s">
        <v>790</v>
      </c>
      <c r="C120" s="40" t="s">
        <v>786</v>
      </c>
      <c r="D120" s="104" t="s">
        <v>787</v>
      </c>
      <c r="E120" s="22" t="s">
        <v>20</v>
      </c>
      <c r="F120" s="40" t="s">
        <v>791</v>
      </c>
      <c r="G120" s="112">
        <f>181735.8*1.25</f>
        <v>227169.75</v>
      </c>
      <c r="H120" s="29" t="s">
        <v>792</v>
      </c>
      <c r="I120" s="115">
        <v>42865</v>
      </c>
      <c r="J120" s="112">
        <v>91851.88</v>
      </c>
    </row>
    <row r="121" spans="1:10" s="6" customFormat="1" ht="38.25" x14ac:dyDescent="0.2">
      <c r="A121" s="175">
        <v>115</v>
      </c>
      <c r="B121" s="153" t="s">
        <v>799</v>
      </c>
      <c r="C121" s="40" t="s">
        <v>800</v>
      </c>
      <c r="D121" s="104" t="s">
        <v>801</v>
      </c>
      <c r="E121" s="22" t="s">
        <v>20</v>
      </c>
      <c r="F121" s="40" t="s">
        <v>78</v>
      </c>
      <c r="G121" s="112">
        <v>33600</v>
      </c>
      <c r="H121" s="29" t="s">
        <v>802</v>
      </c>
      <c r="I121" s="115">
        <v>42860</v>
      </c>
      <c r="J121" s="112">
        <v>0</v>
      </c>
    </row>
    <row r="122" spans="1:10" s="6" customFormat="1" ht="38.25" x14ac:dyDescent="0.2">
      <c r="A122" s="175">
        <v>116</v>
      </c>
      <c r="B122" s="153" t="s">
        <v>803</v>
      </c>
      <c r="C122" s="40" t="s">
        <v>804</v>
      </c>
      <c r="D122" s="104" t="s">
        <v>805</v>
      </c>
      <c r="E122" s="22" t="s">
        <v>20</v>
      </c>
      <c r="F122" s="40" t="s">
        <v>806</v>
      </c>
      <c r="G122" s="112">
        <v>531388.76</v>
      </c>
      <c r="H122" s="29" t="s">
        <v>807</v>
      </c>
      <c r="I122" s="115">
        <v>42868</v>
      </c>
      <c r="J122" s="112">
        <v>0</v>
      </c>
    </row>
    <row r="123" spans="1:10" s="6" customFormat="1" ht="38.25" x14ac:dyDescent="0.2">
      <c r="A123" s="175">
        <v>117</v>
      </c>
      <c r="B123" s="153" t="s">
        <v>810</v>
      </c>
      <c r="C123" s="40" t="s">
        <v>811</v>
      </c>
      <c r="D123" s="104" t="s">
        <v>812</v>
      </c>
      <c r="E123" s="22" t="s">
        <v>20</v>
      </c>
      <c r="F123" s="40" t="s">
        <v>813</v>
      </c>
      <c r="G123" s="112">
        <v>12073.25</v>
      </c>
      <c r="H123" s="29" t="s">
        <v>814</v>
      </c>
      <c r="I123" s="115">
        <v>42684</v>
      </c>
      <c r="J123" s="112">
        <v>0</v>
      </c>
    </row>
    <row r="124" spans="1:10" s="6" customFormat="1" ht="38.25" x14ac:dyDescent="0.2">
      <c r="A124" s="175">
        <v>118</v>
      </c>
      <c r="B124" s="153" t="s">
        <v>821</v>
      </c>
      <c r="C124" s="40" t="s">
        <v>86</v>
      </c>
      <c r="D124" s="104" t="s">
        <v>822</v>
      </c>
      <c r="E124" s="22" t="s">
        <v>20</v>
      </c>
      <c r="F124" s="40" t="s">
        <v>88</v>
      </c>
      <c r="G124" s="112">
        <v>118916</v>
      </c>
      <c r="H124" s="29" t="s">
        <v>823</v>
      </c>
      <c r="I124" s="115">
        <v>42882</v>
      </c>
      <c r="J124" s="112">
        <v>0</v>
      </c>
    </row>
    <row r="125" spans="1:10" s="6" customFormat="1" ht="38.25" x14ac:dyDescent="0.2">
      <c r="A125" s="175">
        <v>119</v>
      </c>
      <c r="B125" s="153" t="s">
        <v>824</v>
      </c>
      <c r="C125" s="40" t="s">
        <v>825</v>
      </c>
      <c r="D125" s="104" t="s">
        <v>826</v>
      </c>
      <c r="E125" s="22" t="s">
        <v>20</v>
      </c>
      <c r="F125" s="40" t="s">
        <v>375</v>
      </c>
      <c r="G125" s="112">
        <v>49927.5</v>
      </c>
      <c r="H125" s="29" t="s">
        <v>827</v>
      </c>
      <c r="I125" s="115">
        <v>42882</v>
      </c>
      <c r="J125" s="112">
        <v>0</v>
      </c>
    </row>
    <row r="126" spans="1:10" s="6" customFormat="1" ht="38.25" x14ac:dyDescent="0.2">
      <c r="A126" s="175">
        <v>120</v>
      </c>
      <c r="B126" s="153" t="s">
        <v>833</v>
      </c>
      <c r="C126" s="40" t="s">
        <v>86</v>
      </c>
      <c r="D126" s="104" t="s">
        <v>838</v>
      </c>
      <c r="E126" s="22" t="s">
        <v>20</v>
      </c>
      <c r="F126" s="40" t="s">
        <v>834</v>
      </c>
      <c r="G126" s="112">
        <v>123625</v>
      </c>
      <c r="H126" s="29" t="s">
        <v>835</v>
      </c>
      <c r="I126" s="115">
        <v>42882</v>
      </c>
      <c r="J126" s="112">
        <v>0</v>
      </c>
    </row>
    <row r="127" spans="1:10" s="6" customFormat="1" ht="38.25" x14ac:dyDescent="0.2">
      <c r="A127" s="175">
        <v>121</v>
      </c>
      <c r="B127" s="153" t="s">
        <v>836</v>
      </c>
      <c r="C127" s="40" t="s">
        <v>382</v>
      </c>
      <c r="D127" s="104" t="s">
        <v>360</v>
      </c>
      <c r="E127" s="22" t="s">
        <v>20</v>
      </c>
      <c r="F127" s="40" t="s">
        <v>839</v>
      </c>
      <c r="G127" s="112">
        <v>847452.1</v>
      </c>
      <c r="H127" s="29" t="s">
        <v>840</v>
      </c>
      <c r="I127" s="115" t="s">
        <v>4201</v>
      </c>
      <c r="J127" s="112">
        <v>78363.75</v>
      </c>
    </row>
    <row r="128" spans="1:10" s="6" customFormat="1" ht="38.25" x14ac:dyDescent="0.2">
      <c r="A128" s="175">
        <v>122</v>
      </c>
      <c r="B128" s="153" t="s">
        <v>858</v>
      </c>
      <c r="C128" s="40" t="s">
        <v>859</v>
      </c>
      <c r="D128" s="104" t="s">
        <v>860</v>
      </c>
      <c r="E128" s="22" t="s">
        <v>20</v>
      </c>
      <c r="F128" s="40" t="s">
        <v>861</v>
      </c>
      <c r="G128" s="112">
        <v>512450</v>
      </c>
      <c r="H128" s="29" t="s">
        <v>862</v>
      </c>
      <c r="I128" s="115" t="s">
        <v>4200</v>
      </c>
      <c r="J128" s="112">
        <v>105159</v>
      </c>
    </row>
    <row r="129" spans="1:10" s="6" customFormat="1" ht="38.25" x14ac:dyDescent="0.2">
      <c r="A129" s="175">
        <v>123</v>
      </c>
      <c r="B129" s="153" t="s">
        <v>875</v>
      </c>
      <c r="C129" s="40" t="s">
        <v>874</v>
      </c>
      <c r="D129" s="104" t="s">
        <v>876</v>
      </c>
      <c r="E129" s="22" t="s">
        <v>20</v>
      </c>
      <c r="F129" s="40" t="s">
        <v>699</v>
      </c>
      <c r="G129" s="112">
        <v>1146838</v>
      </c>
      <c r="H129" s="29" t="s">
        <v>877</v>
      </c>
      <c r="I129" s="115" t="s">
        <v>4199</v>
      </c>
      <c r="J129" s="112">
        <v>0</v>
      </c>
    </row>
    <row r="130" spans="1:10" s="6" customFormat="1" ht="38.25" x14ac:dyDescent="0.2">
      <c r="A130" s="175">
        <v>124</v>
      </c>
      <c r="B130" s="153" t="s">
        <v>879</v>
      </c>
      <c r="C130" s="40" t="s">
        <v>874</v>
      </c>
      <c r="D130" s="104" t="s">
        <v>881</v>
      </c>
      <c r="E130" s="22" t="s">
        <v>20</v>
      </c>
      <c r="F130" s="40" t="s">
        <v>138</v>
      </c>
      <c r="G130" s="112">
        <v>64063.5</v>
      </c>
      <c r="H130" s="29" t="s">
        <v>880</v>
      </c>
      <c r="I130" s="115" t="s">
        <v>4171</v>
      </c>
      <c r="J130" s="112">
        <v>0</v>
      </c>
    </row>
    <row r="131" spans="1:10" s="6" customFormat="1" ht="38.25" x14ac:dyDescent="0.2">
      <c r="A131" s="175">
        <v>125</v>
      </c>
      <c r="B131" s="153" t="s">
        <v>888</v>
      </c>
      <c r="C131" s="40" t="s">
        <v>825</v>
      </c>
      <c r="D131" s="104" t="s">
        <v>826</v>
      </c>
      <c r="E131" s="22" t="s">
        <v>20</v>
      </c>
      <c r="F131" s="40" t="s">
        <v>783</v>
      </c>
      <c r="G131" s="112">
        <v>66225</v>
      </c>
      <c r="H131" s="29" t="s">
        <v>882</v>
      </c>
      <c r="I131" s="115" t="s">
        <v>878</v>
      </c>
      <c r="J131" s="112">
        <v>0</v>
      </c>
    </row>
    <row r="132" spans="1:10" s="6" customFormat="1" ht="38.25" x14ac:dyDescent="0.2">
      <c r="A132" s="175">
        <v>126</v>
      </c>
      <c r="B132" s="153" t="s">
        <v>889</v>
      </c>
      <c r="C132" s="40" t="s">
        <v>874</v>
      </c>
      <c r="D132" s="104" t="s">
        <v>881</v>
      </c>
      <c r="E132" s="22" t="s">
        <v>20</v>
      </c>
      <c r="F132" s="40" t="s">
        <v>49</v>
      </c>
      <c r="G132" s="112">
        <v>194976.51</v>
      </c>
      <c r="H132" s="29" t="s">
        <v>890</v>
      </c>
      <c r="I132" s="115" t="s">
        <v>4171</v>
      </c>
      <c r="J132" s="112">
        <v>0</v>
      </c>
    </row>
    <row r="133" spans="1:10" s="6" customFormat="1" ht="38.25" x14ac:dyDescent="0.2">
      <c r="A133" s="175">
        <v>127</v>
      </c>
      <c r="B133" s="153" t="s">
        <v>897</v>
      </c>
      <c r="C133" s="40" t="s">
        <v>893</v>
      </c>
      <c r="D133" s="104" t="s">
        <v>894</v>
      </c>
      <c r="E133" s="22" t="s">
        <v>20</v>
      </c>
      <c r="F133" s="40" t="s">
        <v>895</v>
      </c>
      <c r="G133" s="112">
        <v>135000</v>
      </c>
      <c r="H133" s="29" t="s">
        <v>898</v>
      </c>
      <c r="I133" s="115" t="s">
        <v>4172</v>
      </c>
      <c r="J133" s="112">
        <v>15000</v>
      </c>
    </row>
    <row r="134" spans="1:10" s="6" customFormat="1" ht="38.25" x14ac:dyDescent="0.2">
      <c r="A134" s="175">
        <v>128</v>
      </c>
      <c r="B134" s="153" t="s">
        <v>899</v>
      </c>
      <c r="C134" s="40" t="s">
        <v>893</v>
      </c>
      <c r="D134" s="104" t="s">
        <v>894</v>
      </c>
      <c r="E134" s="22" t="s">
        <v>20</v>
      </c>
      <c r="F134" s="40" t="s">
        <v>895</v>
      </c>
      <c r="G134" s="112">
        <v>72500</v>
      </c>
      <c r="H134" s="29" t="s">
        <v>896</v>
      </c>
      <c r="I134" s="115" t="s">
        <v>4172</v>
      </c>
      <c r="J134" s="112">
        <v>5000</v>
      </c>
    </row>
    <row r="135" spans="1:10" s="6" customFormat="1" ht="38.25" x14ac:dyDescent="0.2">
      <c r="A135" s="175">
        <v>129</v>
      </c>
      <c r="B135" s="153" t="s">
        <v>905</v>
      </c>
      <c r="C135" s="40" t="s">
        <v>906</v>
      </c>
      <c r="D135" s="104" t="s">
        <v>4214</v>
      </c>
      <c r="E135" s="22" t="s">
        <v>20</v>
      </c>
      <c r="F135" s="40" t="s">
        <v>907</v>
      </c>
      <c r="G135" s="112">
        <v>619763.75</v>
      </c>
      <c r="H135" s="29" t="s">
        <v>908</v>
      </c>
      <c r="I135" s="115" t="s">
        <v>4173</v>
      </c>
      <c r="J135" s="112">
        <v>541236.25</v>
      </c>
    </row>
    <row r="136" spans="1:10" s="6" customFormat="1" ht="38.25" x14ac:dyDescent="0.2">
      <c r="A136" s="175">
        <v>130</v>
      </c>
      <c r="B136" s="153" t="s">
        <v>909</v>
      </c>
      <c r="C136" s="40" t="s">
        <v>910</v>
      </c>
      <c r="D136" s="104" t="s">
        <v>911</v>
      </c>
      <c r="E136" s="22" t="s">
        <v>20</v>
      </c>
      <c r="F136" s="40" t="s">
        <v>356</v>
      </c>
      <c r="G136" s="112">
        <v>188877</v>
      </c>
      <c r="H136" s="29" t="s">
        <v>912</v>
      </c>
      <c r="I136" s="115" t="s">
        <v>4174</v>
      </c>
      <c r="J136" s="112">
        <v>0</v>
      </c>
    </row>
    <row r="137" spans="1:10" s="6" customFormat="1" ht="38.25" x14ac:dyDescent="0.2">
      <c r="A137" s="175">
        <v>131</v>
      </c>
      <c r="B137" s="153" t="s">
        <v>914</v>
      </c>
      <c r="C137" s="40" t="s">
        <v>910</v>
      </c>
      <c r="D137" s="104" t="s">
        <v>911</v>
      </c>
      <c r="E137" s="22" t="s">
        <v>20</v>
      </c>
      <c r="F137" s="40" t="s">
        <v>317</v>
      </c>
      <c r="G137" s="112">
        <f>182989.55+6263.21+88393.07+72363.27+1681.05+38271.74+40242.13+23309.75+10919.66</f>
        <v>464433.42999999993</v>
      </c>
      <c r="H137" s="29" t="s">
        <v>913</v>
      </c>
      <c r="I137" s="115" t="s">
        <v>4174</v>
      </c>
      <c r="J137" s="112">
        <v>1160</v>
      </c>
    </row>
    <row r="138" spans="1:10" s="6" customFormat="1" ht="38.25" x14ac:dyDescent="0.2">
      <c r="A138" s="175">
        <v>132</v>
      </c>
      <c r="B138" s="153" t="s">
        <v>921</v>
      </c>
      <c r="C138" s="40" t="s">
        <v>910</v>
      </c>
      <c r="D138" s="104" t="s">
        <v>911</v>
      </c>
      <c r="E138" s="22" t="s">
        <v>20</v>
      </c>
      <c r="F138" s="40" t="s">
        <v>211</v>
      </c>
      <c r="G138" s="112">
        <f>21489.3+4514.08+7136.85+10429.65+111872.88+33715.5+19625.76+3220.56+18761.4+115868.34+1081881.23+22462.02+5439.67+5039.99</f>
        <v>1461457.23</v>
      </c>
      <c r="H138" s="29" t="s">
        <v>922</v>
      </c>
      <c r="I138" s="115" t="s">
        <v>4174</v>
      </c>
      <c r="J138" s="112">
        <v>0</v>
      </c>
    </row>
    <row r="139" spans="1:10" s="6" customFormat="1" ht="38.25" x14ac:dyDescent="0.2">
      <c r="A139" s="175">
        <v>133</v>
      </c>
      <c r="B139" s="153" t="s">
        <v>940</v>
      </c>
      <c r="C139" s="40" t="s">
        <v>941</v>
      </c>
      <c r="D139" s="104" t="s">
        <v>942</v>
      </c>
      <c r="E139" s="22" t="s">
        <v>20</v>
      </c>
      <c r="F139" s="40" t="s">
        <v>944</v>
      </c>
      <c r="G139" s="112">
        <f>40443.75+71448.75</f>
        <v>111892.5</v>
      </c>
      <c r="H139" s="29" t="s">
        <v>943</v>
      </c>
      <c r="I139" s="115" t="s">
        <v>4198</v>
      </c>
      <c r="J139" s="112">
        <v>30845</v>
      </c>
    </row>
    <row r="140" spans="1:10" s="6" customFormat="1" ht="38.25" x14ac:dyDescent="0.2">
      <c r="A140" s="175">
        <v>134</v>
      </c>
      <c r="B140" s="153" t="s">
        <v>952</v>
      </c>
      <c r="C140" s="40" t="s">
        <v>948</v>
      </c>
      <c r="D140" s="104" t="s">
        <v>4215</v>
      </c>
      <c r="E140" s="22" t="s">
        <v>20</v>
      </c>
      <c r="F140" s="40" t="s">
        <v>949</v>
      </c>
      <c r="G140" s="112">
        <v>201875</v>
      </c>
      <c r="H140" s="29" t="s">
        <v>950</v>
      </c>
      <c r="I140" s="115" t="s">
        <v>4197</v>
      </c>
      <c r="J140" s="112">
        <v>62687.5</v>
      </c>
    </row>
    <row r="141" spans="1:10" s="6" customFormat="1" ht="38.25" x14ac:dyDescent="0.2">
      <c r="A141" s="175">
        <v>135</v>
      </c>
      <c r="B141" s="153" t="s">
        <v>953</v>
      </c>
      <c r="C141" s="40" t="s">
        <v>948</v>
      </c>
      <c r="D141" s="104" t="s">
        <v>4215</v>
      </c>
      <c r="E141" s="22" t="s">
        <v>20</v>
      </c>
      <c r="F141" s="40" t="s">
        <v>954</v>
      </c>
      <c r="G141" s="112">
        <v>41693.75</v>
      </c>
      <c r="H141" s="29" t="s">
        <v>951</v>
      </c>
      <c r="I141" s="115" t="s">
        <v>4197</v>
      </c>
      <c r="J141" s="112">
        <v>0</v>
      </c>
    </row>
    <row r="142" spans="1:10" s="6" customFormat="1" ht="38.25" x14ac:dyDescent="0.2">
      <c r="A142" s="175">
        <v>136</v>
      </c>
      <c r="B142" s="153" t="s">
        <v>955</v>
      </c>
      <c r="C142" s="40" t="s">
        <v>956</v>
      </c>
      <c r="D142" s="104" t="s">
        <v>4256</v>
      </c>
      <c r="E142" s="22" t="s">
        <v>20</v>
      </c>
      <c r="F142" s="40" t="s">
        <v>957</v>
      </c>
      <c r="G142" s="112">
        <v>1271946.82</v>
      </c>
      <c r="H142" s="29" t="s">
        <v>958</v>
      </c>
      <c r="I142" s="115" t="s">
        <v>4196</v>
      </c>
      <c r="J142" s="112">
        <v>92911.1</v>
      </c>
    </row>
    <row r="143" spans="1:10" s="6" customFormat="1" ht="38.25" x14ac:dyDescent="0.2">
      <c r="A143" s="175">
        <v>137</v>
      </c>
      <c r="B143" s="153" t="s">
        <v>973</v>
      </c>
      <c r="C143" s="40" t="s">
        <v>956</v>
      </c>
      <c r="D143" s="104" t="s">
        <v>4256</v>
      </c>
      <c r="E143" s="22" t="s">
        <v>20</v>
      </c>
      <c r="F143" s="40" t="s">
        <v>974</v>
      </c>
      <c r="G143" s="112">
        <v>1243334</v>
      </c>
      <c r="H143" s="29" t="s">
        <v>975</v>
      </c>
      <c r="I143" s="115" t="s">
        <v>4195</v>
      </c>
      <c r="J143" s="112">
        <v>465013.19</v>
      </c>
    </row>
    <row r="144" spans="1:10" s="6" customFormat="1" ht="38.25" x14ac:dyDescent="0.2">
      <c r="A144" s="175">
        <v>138</v>
      </c>
      <c r="B144" s="153" t="s">
        <v>988</v>
      </c>
      <c r="C144" s="40" t="s">
        <v>989</v>
      </c>
      <c r="D144" s="104" t="s">
        <v>991</v>
      </c>
      <c r="E144" s="22" t="s">
        <v>20</v>
      </c>
      <c r="F144" s="40" t="s">
        <v>45</v>
      </c>
      <c r="G144" s="112">
        <v>267676.5</v>
      </c>
      <c r="H144" s="29" t="s">
        <v>990</v>
      </c>
      <c r="I144" s="115" t="s">
        <v>4192</v>
      </c>
      <c r="J144" s="112">
        <v>0</v>
      </c>
    </row>
    <row r="145" spans="1:10" s="6" customFormat="1" ht="38.25" x14ac:dyDescent="0.2">
      <c r="A145" s="175">
        <v>139</v>
      </c>
      <c r="B145" s="153" t="s">
        <v>1011</v>
      </c>
      <c r="C145" s="40" t="s">
        <v>1009</v>
      </c>
      <c r="D145" s="104" t="s">
        <v>1008</v>
      </c>
      <c r="E145" s="22" t="s">
        <v>20</v>
      </c>
      <c r="F145" s="40" t="s">
        <v>1007</v>
      </c>
      <c r="G145" s="112">
        <v>1145726.8799999999</v>
      </c>
      <c r="H145" s="29" t="s">
        <v>1010</v>
      </c>
      <c r="I145" s="115" t="s">
        <v>4194</v>
      </c>
      <c r="J145" s="112">
        <v>423691.26</v>
      </c>
    </row>
    <row r="146" spans="1:10" s="6" customFormat="1" ht="38.25" x14ac:dyDescent="0.2">
      <c r="A146" s="175">
        <v>140</v>
      </c>
      <c r="B146" s="153" t="s">
        <v>1040</v>
      </c>
      <c r="C146" s="40" t="s">
        <v>910</v>
      </c>
      <c r="D146" s="104" t="s">
        <v>911</v>
      </c>
      <c r="E146" s="22" t="s">
        <v>20</v>
      </c>
      <c r="F146" s="40" t="s">
        <v>895</v>
      </c>
      <c r="G146" s="112">
        <f>71211.32+6395.76+2747.8</f>
        <v>80354.880000000005</v>
      </c>
      <c r="H146" s="29" t="s">
        <v>1041</v>
      </c>
      <c r="I146" s="115" t="s">
        <v>4174</v>
      </c>
      <c r="J146" s="112">
        <v>0</v>
      </c>
    </row>
    <row r="147" spans="1:10" s="6" customFormat="1" ht="38.25" x14ac:dyDescent="0.2">
      <c r="A147" s="175">
        <v>141</v>
      </c>
      <c r="B147" s="153" t="s">
        <v>1045</v>
      </c>
      <c r="C147" s="40" t="s">
        <v>1042</v>
      </c>
      <c r="D147" s="104" t="s">
        <v>1043</v>
      </c>
      <c r="E147" s="22" t="s">
        <v>20</v>
      </c>
      <c r="F147" s="40" t="s">
        <v>839</v>
      </c>
      <c r="G147" s="112">
        <v>512500</v>
      </c>
      <c r="H147" s="29" t="s">
        <v>1044</v>
      </c>
      <c r="I147" s="115" t="s">
        <v>4193</v>
      </c>
      <c r="J147" s="112">
        <v>170833.32</v>
      </c>
    </row>
    <row r="148" spans="1:10" s="6" customFormat="1" ht="38.25" x14ac:dyDescent="0.2">
      <c r="A148" s="175">
        <v>142</v>
      </c>
      <c r="B148" s="153" t="s">
        <v>1046</v>
      </c>
      <c r="C148" s="40" t="s">
        <v>4143</v>
      </c>
      <c r="D148" s="104" t="s">
        <v>1047</v>
      </c>
      <c r="E148" s="22" t="s">
        <v>20</v>
      </c>
      <c r="F148" s="40" t="s">
        <v>317</v>
      </c>
      <c r="G148" s="112">
        <v>47770.38</v>
      </c>
      <c r="H148" s="29" t="s">
        <v>1048</v>
      </c>
      <c r="I148" s="115" t="s">
        <v>4192</v>
      </c>
      <c r="J148" s="112">
        <v>0</v>
      </c>
    </row>
    <row r="149" spans="1:10" s="6" customFormat="1" ht="38.25" x14ac:dyDescent="0.2">
      <c r="A149" s="175">
        <v>143</v>
      </c>
      <c r="B149" s="153" t="s">
        <v>1052</v>
      </c>
      <c r="C149" s="40" t="s">
        <v>1049</v>
      </c>
      <c r="D149" s="104" t="s">
        <v>1050</v>
      </c>
      <c r="E149" s="22" t="s">
        <v>20</v>
      </c>
      <c r="F149" s="40" t="s">
        <v>347</v>
      </c>
      <c r="G149" s="112">
        <v>402543.5</v>
      </c>
      <c r="H149" s="29" t="s">
        <v>1051</v>
      </c>
      <c r="I149" s="115" t="s">
        <v>4192</v>
      </c>
      <c r="J149" s="112">
        <v>0</v>
      </c>
    </row>
    <row r="150" spans="1:10" s="6" customFormat="1" ht="38.25" x14ac:dyDescent="0.2">
      <c r="A150" s="175">
        <v>144</v>
      </c>
      <c r="B150" s="153" t="s">
        <v>1055</v>
      </c>
      <c r="C150" s="40" t="s">
        <v>4142</v>
      </c>
      <c r="D150" s="104" t="s">
        <v>1056</v>
      </c>
      <c r="E150" s="22" t="s">
        <v>20</v>
      </c>
      <c r="F150" s="40" t="s">
        <v>1057</v>
      </c>
      <c r="G150" s="112">
        <v>7362497.5</v>
      </c>
      <c r="H150" s="29" t="s">
        <v>1058</v>
      </c>
      <c r="I150" s="115" t="s">
        <v>4191</v>
      </c>
      <c r="J150" s="112">
        <v>2454165.7999999998</v>
      </c>
    </row>
    <row r="151" spans="1:10" s="6" customFormat="1" ht="38.25" x14ac:dyDescent="0.2">
      <c r="A151" s="175">
        <v>145</v>
      </c>
      <c r="B151" s="153" t="s">
        <v>1061</v>
      </c>
      <c r="C151" s="40" t="s">
        <v>1062</v>
      </c>
      <c r="D151" s="104" t="s">
        <v>1063</v>
      </c>
      <c r="E151" s="22" t="s">
        <v>20</v>
      </c>
      <c r="F151" s="40" t="s">
        <v>91</v>
      </c>
      <c r="G151" s="114">
        <v>128100</v>
      </c>
      <c r="H151" s="29" t="s">
        <v>1064</v>
      </c>
      <c r="I151" s="115" t="s">
        <v>4190</v>
      </c>
      <c r="J151" s="114">
        <v>0</v>
      </c>
    </row>
    <row r="152" spans="1:10" s="6" customFormat="1" ht="38.25" x14ac:dyDescent="0.2">
      <c r="A152" s="175">
        <v>146</v>
      </c>
      <c r="B152" s="153" t="s">
        <v>1071</v>
      </c>
      <c r="C152" s="40" t="s">
        <v>1062</v>
      </c>
      <c r="D152" s="104" t="s">
        <v>1063</v>
      </c>
      <c r="E152" s="22" t="s">
        <v>20</v>
      </c>
      <c r="F152" s="40" t="s">
        <v>78</v>
      </c>
      <c r="G152" s="114">
        <v>562500</v>
      </c>
      <c r="H152" s="104" t="s">
        <v>1072</v>
      </c>
      <c r="I152" s="115" t="s">
        <v>4190</v>
      </c>
      <c r="J152" s="114">
        <v>0</v>
      </c>
    </row>
    <row r="153" spans="1:10" s="6" customFormat="1" ht="38.25" x14ac:dyDescent="0.2">
      <c r="A153" s="175">
        <v>147</v>
      </c>
      <c r="B153" s="153" t="s">
        <v>1079</v>
      </c>
      <c r="C153" s="40" t="s">
        <v>1080</v>
      </c>
      <c r="D153" s="104" t="s">
        <v>1081</v>
      </c>
      <c r="E153" s="22" t="s">
        <v>20</v>
      </c>
      <c r="F153" s="40" t="s">
        <v>49</v>
      </c>
      <c r="G153" s="112">
        <v>25000</v>
      </c>
      <c r="H153" s="104" t="s">
        <v>1082</v>
      </c>
      <c r="I153" s="115" t="s">
        <v>4188</v>
      </c>
      <c r="J153" s="114">
        <v>0</v>
      </c>
    </row>
    <row r="154" spans="1:10" s="6" customFormat="1" ht="38.25" x14ac:dyDescent="0.2">
      <c r="A154" s="175">
        <v>148</v>
      </c>
      <c r="B154" s="153" t="s">
        <v>1120</v>
      </c>
      <c r="C154" s="40" t="s">
        <v>65</v>
      </c>
      <c r="D154" s="104" t="s">
        <v>1121</v>
      </c>
      <c r="E154" s="22" t="s">
        <v>20</v>
      </c>
      <c r="F154" s="40" t="s">
        <v>49</v>
      </c>
      <c r="G154" s="112">
        <v>126893</v>
      </c>
      <c r="H154" s="104" t="s">
        <v>1122</v>
      </c>
      <c r="I154" s="115" t="s">
        <v>4183</v>
      </c>
      <c r="J154" s="114">
        <v>0</v>
      </c>
    </row>
    <row r="155" spans="1:10" s="6" customFormat="1" ht="38.25" x14ac:dyDescent="0.2">
      <c r="A155" s="175">
        <v>149</v>
      </c>
      <c r="B155" s="153" t="s">
        <v>1124</v>
      </c>
      <c r="C155" s="40" t="s">
        <v>65</v>
      </c>
      <c r="D155" s="104" t="s">
        <v>1121</v>
      </c>
      <c r="E155" s="22" t="s">
        <v>20</v>
      </c>
      <c r="F155" s="40" t="s">
        <v>317</v>
      </c>
      <c r="G155" s="112">
        <v>14500</v>
      </c>
      <c r="H155" s="104" t="s">
        <v>1125</v>
      </c>
      <c r="I155" s="115" t="s">
        <v>4183</v>
      </c>
      <c r="J155" s="112">
        <v>0</v>
      </c>
    </row>
    <row r="156" spans="1:10" s="6" customFormat="1" ht="38.25" x14ac:dyDescent="0.2">
      <c r="A156" s="175">
        <v>150</v>
      </c>
      <c r="B156" s="153" t="s">
        <v>1126</v>
      </c>
      <c r="C156" s="40" t="s">
        <v>65</v>
      </c>
      <c r="D156" s="104" t="s">
        <v>1121</v>
      </c>
      <c r="E156" s="22" t="s">
        <v>20</v>
      </c>
      <c r="F156" s="40" t="s">
        <v>227</v>
      </c>
      <c r="G156" s="112">
        <f>3322+19416+2643865</f>
        <v>2666603</v>
      </c>
      <c r="H156" s="104" t="s">
        <v>1127</v>
      </c>
      <c r="I156" s="115" t="s">
        <v>4183</v>
      </c>
      <c r="J156" s="112">
        <v>0</v>
      </c>
    </row>
    <row r="157" spans="1:10" s="6" customFormat="1" ht="38.25" x14ac:dyDescent="0.2">
      <c r="A157" s="175">
        <v>151</v>
      </c>
      <c r="B157" s="153" t="s">
        <v>1128</v>
      </c>
      <c r="C157" s="40" t="s">
        <v>65</v>
      </c>
      <c r="D157" s="104" t="s">
        <v>1121</v>
      </c>
      <c r="E157" s="22" t="s">
        <v>20</v>
      </c>
      <c r="F157" s="40" t="s">
        <v>78</v>
      </c>
      <c r="G157" s="112">
        <v>2589168.75</v>
      </c>
      <c r="H157" s="104" t="s">
        <v>1129</v>
      </c>
      <c r="I157" s="115" t="s">
        <v>4183</v>
      </c>
      <c r="J157" s="112">
        <v>0</v>
      </c>
    </row>
    <row r="158" spans="1:10" s="6" customFormat="1" ht="38.25" x14ac:dyDescent="0.2">
      <c r="A158" s="175">
        <v>152</v>
      </c>
      <c r="B158" s="153" t="s">
        <v>1130</v>
      </c>
      <c r="C158" s="40" t="s">
        <v>65</v>
      </c>
      <c r="D158" s="104" t="s">
        <v>1121</v>
      </c>
      <c r="E158" s="22" t="s">
        <v>20</v>
      </c>
      <c r="F158" s="40" t="s">
        <v>761</v>
      </c>
      <c r="G158" s="112">
        <v>387560</v>
      </c>
      <c r="H158" s="104" t="s">
        <v>1131</v>
      </c>
      <c r="I158" s="115" t="s">
        <v>4183</v>
      </c>
      <c r="J158" s="112">
        <v>0</v>
      </c>
    </row>
    <row r="159" spans="1:10" s="6" customFormat="1" ht="38.25" x14ac:dyDescent="0.2">
      <c r="A159" s="175">
        <v>153</v>
      </c>
      <c r="B159" s="153" t="s">
        <v>1132</v>
      </c>
      <c r="C159" s="40" t="s">
        <v>65</v>
      </c>
      <c r="D159" s="104" t="s">
        <v>1121</v>
      </c>
      <c r="E159" s="22" t="s">
        <v>20</v>
      </c>
      <c r="F159" s="40" t="s">
        <v>83</v>
      </c>
      <c r="G159" s="112">
        <f>496612.5+16250</f>
        <v>512862.5</v>
      </c>
      <c r="H159" s="104" t="s">
        <v>1133</v>
      </c>
      <c r="I159" s="115" t="s">
        <v>4183</v>
      </c>
      <c r="J159" s="114">
        <v>0</v>
      </c>
    </row>
    <row r="160" spans="1:10" s="6" customFormat="1" ht="38.25" x14ac:dyDescent="0.2">
      <c r="A160" s="175">
        <v>154</v>
      </c>
      <c r="B160" s="153" t="s">
        <v>1134</v>
      </c>
      <c r="C160" s="40" t="s">
        <v>65</v>
      </c>
      <c r="D160" s="104" t="s">
        <v>1121</v>
      </c>
      <c r="E160" s="22" t="s">
        <v>20</v>
      </c>
      <c r="F160" s="40" t="s">
        <v>1135</v>
      </c>
      <c r="G160" s="112">
        <v>8500</v>
      </c>
      <c r="H160" s="104" t="s">
        <v>1136</v>
      </c>
      <c r="I160" s="115" t="s">
        <v>4183</v>
      </c>
      <c r="J160" s="114">
        <v>0</v>
      </c>
    </row>
    <row r="161" spans="1:10" s="6" customFormat="1" ht="38.25" x14ac:dyDescent="0.2">
      <c r="A161" s="175">
        <v>155</v>
      </c>
      <c r="B161" s="153" t="s">
        <v>1137</v>
      </c>
      <c r="C161" s="40" t="s">
        <v>1138</v>
      </c>
      <c r="D161" s="104" t="s">
        <v>1139</v>
      </c>
      <c r="E161" s="22" t="s">
        <v>20</v>
      </c>
      <c r="F161" s="40" t="s">
        <v>1140</v>
      </c>
      <c r="G161" s="112">
        <v>334875</v>
      </c>
      <c r="H161" s="104" t="s">
        <v>1141</v>
      </c>
      <c r="I161" s="115" t="s">
        <v>4184</v>
      </c>
      <c r="J161" s="112">
        <v>87500</v>
      </c>
    </row>
    <row r="162" spans="1:10" s="6" customFormat="1" ht="38.25" x14ac:dyDescent="0.2">
      <c r="A162" s="175">
        <v>156</v>
      </c>
      <c r="B162" s="153" t="s">
        <v>1152</v>
      </c>
      <c r="C162" s="40" t="s">
        <v>1142</v>
      </c>
      <c r="D162" s="104" t="s">
        <v>1143</v>
      </c>
      <c r="E162" s="22" t="s">
        <v>20</v>
      </c>
      <c r="F162" s="40" t="s">
        <v>49</v>
      </c>
      <c r="G162" s="112">
        <v>1149540.54</v>
      </c>
      <c r="H162" s="104" t="s">
        <v>1144</v>
      </c>
      <c r="I162" s="115" t="s">
        <v>4187</v>
      </c>
      <c r="J162" s="114">
        <v>0</v>
      </c>
    </row>
    <row r="163" spans="1:10" s="6" customFormat="1" ht="38.25" x14ac:dyDescent="0.2">
      <c r="A163" s="175">
        <v>157</v>
      </c>
      <c r="B163" s="153" t="s">
        <v>1149</v>
      </c>
      <c r="C163" s="40" t="s">
        <v>99</v>
      </c>
      <c r="D163" s="104" t="s">
        <v>1150</v>
      </c>
      <c r="E163" s="22" t="s">
        <v>20</v>
      </c>
      <c r="F163" s="40" t="s">
        <v>885</v>
      </c>
      <c r="G163" s="112">
        <v>520250</v>
      </c>
      <c r="H163" s="104" t="s">
        <v>1151</v>
      </c>
      <c r="I163" s="115" t="s">
        <v>4182</v>
      </c>
      <c r="J163" s="112">
        <v>0</v>
      </c>
    </row>
    <row r="164" spans="1:10" s="6" customFormat="1" ht="38.25" x14ac:dyDescent="0.2">
      <c r="A164" s="175">
        <v>158</v>
      </c>
      <c r="B164" s="153" t="s">
        <v>1153</v>
      </c>
      <c r="C164" s="40" t="s">
        <v>99</v>
      </c>
      <c r="D164" s="104" t="s">
        <v>1150</v>
      </c>
      <c r="E164" s="22" t="s">
        <v>20</v>
      </c>
      <c r="F164" s="40" t="s">
        <v>1155</v>
      </c>
      <c r="G164" s="112">
        <v>1271141.25</v>
      </c>
      <c r="H164" s="104" t="s">
        <v>1154</v>
      </c>
      <c r="I164" s="115" t="s">
        <v>4182</v>
      </c>
      <c r="J164" s="112">
        <v>0</v>
      </c>
    </row>
    <row r="165" spans="1:10" s="6" customFormat="1" ht="38.25" x14ac:dyDescent="0.2">
      <c r="A165" s="175">
        <v>159</v>
      </c>
      <c r="B165" s="153" t="s">
        <v>1165</v>
      </c>
      <c r="C165" s="40" t="s">
        <v>408</v>
      </c>
      <c r="D165" s="104" t="s">
        <v>1162</v>
      </c>
      <c r="E165" s="22" t="s">
        <v>20</v>
      </c>
      <c r="F165" s="40" t="s">
        <v>1057</v>
      </c>
      <c r="G165" s="112">
        <v>9977.25</v>
      </c>
      <c r="H165" s="104" t="s">
        <v>1163</v>
      </c>
      <c r="I165" s="115" t="s">
        <v>4177</v>
      </c>
      <c r="J165" s="112">
        <v>0</v>
      </c>
    </row>
    <row r="166" spans="1:10" s="6" customFormat="1" ht="38.25" x14ac:dyDescent="0.2">
      <c r="A166" s="175">
        <v>160</v>
      </c>
      <c r="B166" s="153" t="s">
        <v>1166</v>
      </c>
      <c r="C166" s="40" t="s">
        <v>408</v>
      </c>
      <c r="D166" s="104" t="s">
        <v>1162</v>
      </c>
      <c r="E166" s="22" t="s">
        <v>20</v>
      </c>
      <c r="F166" s="40" t="s">
        <v>88</v>
      </c>
      <c r="G166" s="112">
        <v>778.68</v>
      </c>
      <c r="H166" s="104" t="s">
        <v>1167</v>
      </c>
      <c r="I166" s="115" t="s">
        <v>4177</v>
      </c>
      <c r="J166" s="112">
        <v>0</v>
      </c>
    </row>
    <row r="167" spans="1:10" s="6" customFormat="1" ht="38.25" x14ac:dyDescent="0.2">
      <c r="A167" s="175">
        <v>161</v>
      </c>
      <c r="B167" s="153" t="s">
        <v>1192</v>
      </c>
      <c r="C167" s="40" t="s">
        <v>408</v>
      </c>
      <c r="D167" s="104" t="s">
        <v>1162</v>
      </c>
      <c r="E167" s="22" t="s">
        <v>20</v>
      </c>
      <c r="F167" s="40" t="s">
        <v>218</v>
      </c>
      <c r="G167" s="112">
        <v>1500</v>
      </c>
      <c r="H167" s="104" t="s">
        <v>1168</v>
      </c>
      <c r="I167" s="115" t="s">
        <v>4177</v>
      </c>
      <c r="J167" s="112">
        <v>0</v>
      </c>
    </row>
    <row r="168" spans="1:10" s="6" customFormat="1" ht="38.25" x14ac:dyDescent="0.2">
      <c r="A168" s="175">
        <v>162</v>
      </c>
      <c r="B168" s="153" t="s">
        <v>1173</v>
      </c>
      <c r="C168" s="40" t="s">
        <v>168</v>
      </c>
      <c r="D168" s="104" t="s">
        <v>1174</v>
      </c>
      <c r="E168" s="22" t="s">
        <v>20</v>
      </c>
      <c r="F168" s="40" t="s">
        <v>347</v>
      </c>
      <c r="G168" s="112">
        <v>388749.5</v>
      </c>
      <c r="H168" s="104" t="s">
        <v>1175</v>
      </c>
      <c r="I168" s="115" t="s">
        <v>4178</v>
      </c>
      <c r="J168" s="112">
        <v>0</v>
      </c>
    </row>
    <row r="169" spans="1:10" s="6" customFormat="1" ht="38.25" x14ac:dyDescent="0.2">
      <c r="A169" s="175">
        <v>163</v>
      </c>
      <c r="B169" s="153" t="s">
        <v>1176</v>
      </c>
      <c r="C169" s="40" t="s">
        <v>168</v>
      </c>
      <c r="D169" s="104" t="s">
        <v>1174</v>
      </c>
      <c r="E169" s="22" t="s">
        <v>20</v>
      </c>
      <c r="F169" s="40" t="s">
        <v>375</v>
      </c>
      <c r="G169" s="112">
        <v>363563.75</v>
      </c>
      <c r="H169" s="104" t="s">
        <v>1177</v>
      </c>
      <c r="I169" s="115" t="s">
        <v>4178</v>
      </c>
      <c r="J169" s="112">
        <v>0</v>
      </c>
    </row>
    <row r="170" spans="1:10" s="6" customFormat="1" ht="38.25" x14ac:dyDescent="0.2">
      <c r="A170" s="175">
        <v>164</v>
      </c>
      <c r="B170" s="153" t="s">
        <v>1178</v>
      </c>
      <c r="C170" s="40" t="s">
        <v>168</v>
      </c>
      <c r="D170" s="104" t="s">
        <v>1174</v>
      </c>
      <c r="E170" s="22" t="s">
        <v>20</v>
      </c>
      <c r="F170" s="40" t="s">
        <v>347</v>
      </c>
      <c r="G170" s="112">
        <v>186283.25</v>
      </c>
      <c r="H170" s="104" t="s">
        <v>1179</v>
      </c>
      <c r="I170" s="115" t="s">
        <v>4179</v>
      </c>
      <c r="J170" s="112">
        <v>0</v>
      </c>
    </row>
    <row r="171" spans="1:10" s="6" customFormat="1" ht="38.25" x14ac:dyDescent="0.2">
      <c r="A171" s="175">
        <v>165</v>
      </c>
      <c r="B171" s="153" t="s">
        <v>1182</v>
      </c>
      <c r="C171" s="40" t="s">
        <v>1183</v>
      </c>
      <c r="D171" s="104" t="s">
        <v>1184</v>
      </c>
      <c r="E171" s="22" t="s">
        <v>20</v>
      </c>
      <c r="F171" s="40" t="s">
        <v>885</v>
      </c>
      <c r="G171" s="112">
        <v>291810</v>
      </c>
      <c r="H171" s="104" t="s">
        <v>1185</v>
      </c>
      <c r="I171" s="115" t="s">
        <v>4180</v>
      </c>
      <c r="J171" s="114">
        <v>0</v>
      </c>
    </row>
    <row r="172" spans="1:10" s="6" customFormat="1" ht="38.25" x14ac:dyDescent="0.2">
      <c r="A172" s="175">
        <v>166</v>
      </c>
      <c r="B172" s="153" t="s">
        <v>1188</v>
      </c>
      <c r="C172" s="40" t="s">
        <v>1189</v>
      </c>
      <c r="D172" s="104" t="s">
        <v>1190</v>
      </c>
      <c r="E172" s="22" t="s">
        <v>20</v>
      </c>
      <c r="F172" s="40" t="s">
        <v>49</v>
      </c>
      <c r="G172" s="114">
        <v>1587307.15</v>
      </c>
      <c r="H172" s="104" t="s">
        <v>1191</v>
      </c>
      <c r="I172" s="115" t="s">
        <v>4181</v>
      </c>
      <c r="J172" s="114">
        <v>0</v>
      </c>
    </row>
    <row r="173" spans="1:10" s="6" customFormat="1" ht="39" customHeight="1" x14ac:dyDescent="0.2">
      <c r="A173" s="175">
        <v>167</v>
      </c>
      <c r="B173" s="153" t="s">
        <v>1195</v>
      </c>
      <c r="C173" s="40" t="s">
        <v>1193</v>
      </c>
      <c r="D173" s="104" t="s">
        <v>1194</v>
      </c>
      <c r="E173" s="22" t="s">
        <v>20</v>
      </c>
      <c r="F173" s="40" t="s">
        <v>724</v>
      </c>
      <c r="G173" s="112">
        <f>91657.94+125768.75+53870+22397.5+117.5+10820+13806.25+60306.25+8895.75+71812.5</f>
        <v>459452.44</v>
      </c>
      <c r="H173" s="104" t="s">
        <v>1196</v>
      </c>
      <c r="I173" s="115" t="s">
        <v>4182</v>
      </c>
      <c r="J173" s="112">
        <v>0</v>
      </c>
    </row>
    <row r="174" spans="1:10" s="6" customFormat="1" ht="42" customHeight="1" x14ac:dyDescent="0.2">
      <c r="A174" s="175">
        <v>168</v>
      </c>
      <c r="B174" s="153" t="s">
        <v>1204</v>
      </c>
      <c r="C174" s="40" t="s">
        <v>1193</v>
      </c>
      <c r="D174" s="104" t="s">
        <v>1194</v>
      </c>
      <c r="E174" s="22" t="s">
        <v>20</v>
      </c>
      <c r="F174" s="40" t="s">
        <v>78</v>
      </c>
      <c r="G174" s="112">
        <f>8098.75+875+2745+2613.75</f>
        <v>14332.5</v>
      </c>
      <c r="H174" s="104" t="s">
        <v>1205</v>
      </c>
      <c r="I174" s="115" t="s">
        <v>4182</v>
      </c>
      <c r="J174" s="112">
        <v>0</v>
      </c>
    </row>
    <row r="175" spans="1:10" s="6" customFormat="1" ht="38.25" x14ac:dyDescent="0.2">
      <c r="A175" s="175">
        <v>169</v>
      </c>
      <c r="B175" s="153" t="s">
        <v>1197</v>
      </c>
      <c r="C175" s="40" t="s">
        <v>1193</v>
      </c>
      <c r="D175" s="104" t="s">
        <v>1194</v>
      </c>
      <c r="E175" s="22" t="s">
        <v>20</v>
      </c>
      <c r="F175" s="40" t="s">
        <v>138</v>
      </c>
      <c r="G175" s="112">
        <f>154784.38+15766.56+45500</f>
        <v>216050.94</v>
      </c>
      <c r="H175" s="104" t="s">
        <v>1198</v>
      </c>
      <c r="I175" s="115" t="s">
        <v>4182</v>
      </c>
      <c r="J175" s="112">
        <v>0</v>
      </c>
    </row>
    <row r="176" spans="1:10" s="6" customFormat="1" ht="38.25" x14ac:dyDescent="0.2">
      <c r="A176" s="175">
        <v>170</v>
      </c>
      <c r="B176" s="153" t="s">
        <v>1199</v>
      </c>
      <c r="C176" s="40" t="s">
        <v>1193</v>
      </c>
      <c r="D176" s="104" t="s">
        <v>1194</v>
      </c>
      <c r="E176" s="22" t="s">
        <v>20</v>
      </c>
      <c r="F176" s="40" t="s">
        <v>49</v>
      </c>
      <c r="G176" s="112">
        <f>67227.5+49349.66+128413</f>
        <v>244990.16</v>
      </c>
      <c r="H176" s="104" t="s">
        <v>1200</v>
      </c>
      <c r="I176" s="115" t="s">
        <v>4182</v>
      </c>
      <c r="J176" s="114">
        <v>0</v>
      </c>
    </row>
    <row r="177" spans="1:10" s="6" customFormat="1" ht="38.25" x14ac:dyDescent="0.2">
      <c r="A177" s="175">
        <v>171</v>
      </c>
      <c r="B177" s="188" t="s">
        <v>1201</v>
      </c>
      <c r="C177" s="128" t="s">
        <v>1193</v>
      </c>
      <c r="D177" s="136" t="s">
        <v>1194</v>
      </c>
      <c r="E177" s="45" t="s">
        <v>20</v>
      </c>
      <c r="F177" s="128" t="s">
        <v>1202</v>
      </c>
      <c r="G177" s="189">
        <v>1496.25</v>
      </c>
      <c r="H177" s="136" t="s">
        <v>1203</v>
      </c>
      <c r="I177" s="138" t="s">
        <v>4182</v>
      </c>
      <c r="J177" s="189">
        <v>0</v>
      </c>
    </row>
    <row r="178" spans="1:10" s="6" customFormat="1" ht="38.25" x14ac:dyDescent="0.2">
      <c r="A178" s="175">
        <v>172</v>
      </c>
      <c r="B178" s="152" t="s">
        <v>1218</v>
      </c>
      <c r="C178" s="128" t="s">
        <v>1219</v>
      </c>
      <c r="D178" s="136" t="s">
        <v>1220</v>
      </c>
      <c r="E178" s="45" t="s">
        <v>20</v>
      </c>
      <c r="F178" s="40" t="s">
        <v>96</v>
      </c>
      <c r="G178" s="114">
        <v>1662983.15</v>
      </c>
      <c r="H178" s="136" t="s">
        <v>1221</v>
      </c>
      <c r="I178" s="138" t="s">
        <v>4183</v>
      </c>
      <c r="J178" s="112">
        <v>0</v>
      </c>
    </row>
    <row r="179" spans="1:10" s="6" customFormat="1" ht="38.25" x14ac:dyDescent="0.2">
      <c r="A179" s="175">
        <v>173</v>
      </c>
      <c r="B179" s="152" t="s">
        <v>1237</v>
      </c>
      <c r="C179" s="128" t="s">
        <v>1238</v>
      </c>
      <c r="D179" s="136" t="s">
        <v>1239</v>
      </c>
      <c r="E179" s="45" t="s">
        <v>20</v>
      </c>
      <c r="F179" s="104" t="s">
        <v>1240</v>
      </c>
      <c r="G179" s="114">
        <v>169291.25</v>
      </c>
      <c r="H179" s="136" t="s">
        <v>1241</v>
      </c>
      <c r="I179" s="138" t="s">
        <v>4184</v>
      </c>
      <c r="J179" s="112">
        <v>0</v>
      </c>
    </row>
    <row r="180" spans="1:10" s="6" customFormat="1" ht="38.25" x14ac:dyDescent="0.2">
      <c r="A180" s="175">
        <v>174</v>
      </c>
      <c r="B180" s="152" t="s">
        <v>1246</v>
      </c>
      <c r="C180" s="40" t="s">
        <v>1238</v>
      </c>
      <c r="D180" s="104" t="s">
        <v>1239</v>
      </c>
      <c r="E180" s="22" t="s">
        <v>20</v>
      </c>
      <c r="F180" s="40" t="s">
        <v>1244</v>
      </c>
      <c r="G180" s="114">
        <f>143155+13500</f>
        <v>156655</v>
      </c>
      <c r="H180" s="104" t="s">
        <v>1245</v>
      </c>
      <c r="I180" s="115" t="s">
        <v>4182</v>
      </c>
      <c r="J180" s="114">
        <v>9750</v>
      </c>
    </row>
    <row r="181" spans="1:10" s="6" customFormat="1" ht="38.25" x14ac:dyDescent="0.2">
      <c r="A181" s="175">
        <v>175</v>
      </c>
      <c r="B181" s="153" t="s">
        <v>1247</v>
      </c>
      <c r="C181" s="40" t="s">
        <v>1248</v>
      </c>
      <c r="D181" s="104" t="s">
        <v>1249</v>
      </c>
      <c r="E181" s="22" t="s">
        <v>20</v>
      </c>
      <c r="F181" s="40" t="s">
        <v>49</v>
      </c>
      <c r="G181" s="187">
        <f>1148747.5+57487.5+1721123.5</f>
        <v>2927358.5</v>
      </c>
      <c r="H181" s="104" t="s">
        <v>1250</v>
      </c>
      <c r="I181" s="115" t="s">
        <v>4185</v>
      </c>
      <c r="J181" s="114">
        <v>0</v>
      </c>
    </row>
    <row r="182" spans="1:10" s="6" customFormat="1" ht="38.25" x14ac:dyDescent="0.2">
      <c r="A182" s="175">
        <v>176</v>
      </c>
      <c r="B182" s="153" t="s">
        <v>1251</v>
      </c>
      <c r="C182" s="40" t="s">
        <v>408</v>
      </c>
      <c r="D182" s="104" t="s">
        <v>1162</v>
      </c>
      <c r="E182" s="22" t="s">
        <v>20</v>
      </c>
      <c r="F182" s="40" t="s">
        <v>146</v>
      </c>
      <c r="G182" s="187">
        <v>317337.3</v>
      </c>
      <c r="H182" s="104" t="s">
        <v>1252</v>
      </c>
      <c r="I182" s="115" t="s">
        <v>4177</v>
      </c>
      <c r="J182" s="187">
        <v>0</v>
      </c>
    </row>
    <row r="183" spans="1:10" s="6" customFormat="1" ht="38.25" x14ac:dyDescent="0.2">
      <c r="A183" s="175">
        <v>177</v>
      </c>
      <c r="B183" s="153" t="s">
        <v>1253</v>
      </c>
      <c r="C183" s="40" t="s">
        <v>1287</v>
      </c>
      <c r="D183" s="104" t="s">
        <v>1254</v>
      </c>
      <c r="E183" s="22" t="s">
        <v>20</v>
      </c>
      <c r="F183" s="40" t="s">
        <v>1255</v>
      </c>
      <c r="G183" s="187">
        <v>808352.5</v>
      </c>
      <c r="H183" s="104" t="s">
        <v>1256</v>
      </c>
      <c r="I183" s="115" t="s">
        <v>4186</v>
      </c>
      <c r="J183" s="187">
        <v>44700</v>
      </c>
    </row>
    <row r="184" spans="1:10" s="6" customFormat="1" ht="38.25" x14ac:dyDescent="0.2">
      <c r="A184" s="175">
        <v>178</v>
      </c>
      <c r="B184" s="190" t="s">
        <v>1297</v>
      </c>
      <c r="C184" s="141" t="s">
        <v>1298</v>
      </c>
      <c r="D184" s="104" t="s">
        <v>1299</v>
      </c>
      <c r="E184" s="22" t="s">
        <v>20</v>
      </c>
      <c r="F184" s="141" t="s">
        <v>317</v>
      </c>
      <c r="G184" s="191">
        <v>75982.81</v>
      </c>
      <c r="H184" s="104" t="s">
        <v>1300</v>
      </c>
      <c r="I184" s="115" t="s">
        <v>1401</v>
      </c>
      <c r="J184" s="112">
        <v>0</v>
      </c>
    </row>
    <row r="185" spans="1:10" s="6" customFormat="1" ht="38.25" x14ac:dyDescent="0.2">
      <c r="A185" s="175">
        <v>179</v>
      </c>
      <c r="B185" s="153" t="s">
        <v>1301</v>
      </c>
      <c r="C185" s="40" t="s">
        <v>205</v>
      </c>
      <c r="D185" s="104" t="s">
        <v>1302</v>
      </c>
      <c r="E185" s="22" t="s">
        <v>20</v>
      </c>
      <c r="F185" s="141" t="s">
        <v>1306</v>
      </c>
      <c r="G185" s="112">
        <v>346500</v>
      </c>
      <c r="H185" s="104" t="s">
        <v>1303</v>
      </c>
      <c r="I185" s="115" t="s">
        <v>1401</v>
      </c>
      <c r="J185" s="112">
        <v>0</v>
      </c>
    </row>
    <row r="186" spans="1:10" s="6" customFormat="1" ht="38.25" x14ac:dyDescent="0.2">
      <c r="A186" s="175">
        <v>180</v>
      </c>
      <c r="B186" s="153" t="s">
        <v>1304</v>
      </c>
      <c r="C186" s="40" t="s">
        <v>205</v>
      </c>
      <c r="D186" s="104" t="s">
        <v>1302</v>
      </c>
      <c r="E186" s="22" t="s">
        <v>20</v>
      </c>
      <c r="F186" s="141" t="s">
        <v>317</v>
      </c>
      <c r="G186" s="112">
        <v>908837.95</v>
      </c>
      <c r="H186" s="104" t="s">
        <v>1305</v>
      </c>
      <c r="I186" s="115" t="s">
        <v>1401</v>
      </c>
      <c r="J186" s="112">
        <v>0</v>
      </c>
    </row>
    <row r="187" spans="1:10" s="6" customFormat="1" ht="38.25" x14ac:dyDescent="0.2">
      <c r="A187" s="175">
        <v>181</v>
      </c>
      <c r="B187" s="153" t="s">
        <v>1307</v>
      </c>
      <c r="C187" s="40" t="s">
        <v>408</v>
      </c>
      <c r="D187" s="104" t="s">
        <v>1162</v>
      </c>
      <c r="E187" s="22" t="s">
        <v>20</v>
      </c>
      <c r="F187" s="104" t="s">
        <v>1308</v>
      </c>
      <c r="G187" s="112">
        <f>24738+47250</f>
        <v>71988</v>
      </c>
      <c r="H187" s="104" t="s">
        <v>1309</v>
      </c>
      <c r="I187" s="115" t="s">
        <v>4177</v>
      </c>
      <c r="J187" s="112">
        <v>0</v>
      </c>
    </row>
    <row r="188" spans="1:10" s="6" customFormat="1" ht="38.25" x14ac:dyDescent="0.2">
      <c r="A188" s="175">
        <v>182</v>
      </c>
      <c r="B188" s="153" t="s">
        <v>1317</v>
      </c>
      <c r="C188" s="40" t="s">
        <v>205</v>
      </c>
      <c r="D188" s="104" t="s">
        <v>1302</v>
      </c>
      <c r="E188" s="22" t="s">
        <v>20</v>
      </c>
      <c r="F188" s="40" t="s">
        <v>1155</v>
      </c>
      <c r="G188" s="112">
        <v>312222.45</v>
      </c>
      <c r="H188" s="104" t="s">
        <v>1318</v>
      </c>
      <c r="I188" s="115" t="s">
        <v>1401</v>
      </c>
      <c r="J188" s="112">
        <v>0</v>
      </c>
    </row>
    <row r="189" spans="1:10" s="6" customFormat="1" ht="38.25" x14ac:dyDescent="0.2">
      <c r="A189" s="175">
        <v>183</v>
      </c>
      <c r="B189" s="153" t="s">
        <v>1319</v>
      </c>
      <c r="C189" s="40" t="s">
        <v>1320</v>
      </c>
      <c r="D189" s="104" t="s">
        <v>1321</v>
      </c>
      <c r="E189" s="22" t="s">
        <v>20</v>
      </c>
      <c r="F189" s="40" t="s">
        <v>1322</v>
      </c>
      <c r="G189" s="112">
        <v>833761.25</v>
      </c>
      <c r="H189" s="104" t="s">
        <v>1323</v>
      </c>
      <c r="I189" s="115" t="s">
        <v>1438</v>
      </c>
      <c r="J189" s="112">
        <v>0</v>
      </c>
    </row>
    <row r="190" spans="1:10" s="6" customFormat="1" ht="38.25" x14ac:dyDescent="0.2">
      <c r="A190" s="175">
        <v>184</v>
      </c>
      <c r="B190" s="153" t="s">
        <v>1328</v>
      </c>
      <c r="C190" s="40" t="s">
        <v>1320</v>
      </c>
      <c r="D190" s="104" t="s">
        <v>1321</v>
      </c>
      <c r="E190" s="22" t="s">
        <v>20</v>
      </c>
      <c r="F190" s="40" t="s">
        <v>1322</v>
      </c>
      <c r="G190" s="114">
        <v>244242.5</v>
      </c>
      <c r="H190" s="104" t="s">
        <v>1329</v>
      </c>
      <c r="I190" s="115" t="s">
        <v>1438</v>
      </c>
      <c r="J190" s="112">
        <v>0</v>
      </c>
    </row>
    <row r="191" spans="1:10" s="6" customFormat="1" ht="38.25" x14ac:dyDescent="0.2">
      <c r="A191" s="175">
        <v>185</v>
      </c>
      <c r="B191" s="153" t="s">
        <v>1337</v>
      </c>
      <c r="C191" s="40" t="s">
        <v>752</v>
      </c>
      <c r="D191" s="104" t="s">
        <v>1338</v>
      </c>
      <c r="E191" s="22" t="s">
        <v>20</v>
      </c>
      <c r="F191" s="40" t="s">
        <v>347</v>
      </c>
      <c r="G191" s="112">
        <v>578500</v>
      </c>
      <c r="H191" s="104" t="s">
        <v>1339</v>
      </c>
      <c r="I191" s="115" t="s">
        <v>1401</v>
      </c>
      <c r="J191" s="112">
        <v>0</v>
      </c>
    </row>
    <row r="192" spans="1:10" s="6" customFormat="1" ht="38.25" x14ac:dyDescent="0.2">
      <c r="A192" s="175">
        <v>186</v>
      </c>
      <c r="B192" s="190" t="s">
        <v>1340</v>
      </c>
      <c r="C192" s="141" t="s">
        <v>1298</v>
      </c>
      <c r="D192" s="104" t="s">
        <v>1299</v>
      </c>
      <c r="E192" s="22" t="s">
        <v>20</v>
      </c>
      <c r="F192" s="40" t="s">
        <v>767</v>
      </c>
      <c r="G192" s="112">
        <v>121225.95</v>
      </c>
      <c r="H192" s="104" t="s">
        <v>1341</v>
      </c>
      <c r="I192" s="115" t="s">
        <v>1401</v>
      </c>
      <c r="J192" s="189">
        <v>0</v>
      </c>
    </row>
    <row r="193" spans="1:12" s="6" customFormat="1" ht="38.25" x14ac:dyDescent="0.2">
      <c r="A193" s="175">
        <v>187</v>
      </c>
      <c r="B193" s="183" t="s">
        <v>1399</v>
      </c>
      <c r="C193" s="116" t="s">
        <v>35</v>
      </c>
      <c r="D193" s="104" t="s">
        <v>1397</v>
      </c>
      <c r="E193" s="22" t="s">
        <v>20</v>
      </c>
      <c r="F193" s="40" t="s">
        <v>1398</v>
      </c>
      <c r="G193" s="192">
        <f>686700+651525</f>
        <v>1338225</v>
      </c>
      <c r="H193" s="104" t="s">
        <v>1400</v>
      </c>
      <c r="I193" s="115" t="s">
        <v>1401</v>
      </c>
      <c r="J193" s="114">
        <v>0</v>
      </c>
    </row>
    <row r="194" spans="1:12" s="6" customFormat="1" ht="38.25" x14ac:dyDescent="0.2">
      <c r="A194" s="175">
        <v>188</v>
      </c>
      <c r="B194" s="183" t="s">
        <v>1402</v>
      </c>
      <c r="C194" s="116" t="s">
        <v>752</v>
      </c>
      <c r="D194" s="104" t="s">
        <v>1338</v>
      </c>
      <c r="E194" s="22" t="s">
        <v>20</v>
      </c>
      <c r="F194" s="40" t="s">
        <v>49</v>
      </c>
      <c r="G194" s="112">
        <v>554450.85</v>
      </c>
      <c r="H194" s="104" t="s">
        <v>1403</v>
      </c>
      <c r="I194" s="115" t="s">
        <v>1401</v>
      </c>
      <c r="J194" s="191">
        <v>12267</v>
      </c>
    </row>
    <row r="195" spans="1:12" s="6" customFormat="1" ht="38.25" x14ac:dyDescent="0.2">
      <c r="A195" s="175">
        <v>189</v>
      </c>
      <c r="B195" s="183" t="s">
        <v>1404</v>
      </c>
      <c r="C195" s="110" t="s">
        <v>373</v>
      </c>
      <c r="D195" s="104" t="s">
        <v>1405</v>
      </c>
      <c r="E195" s="22" t="s">
        <v>20</v>
      </c>
      <c r="F195" s="40" t="s">
        <v>49</v>
      </c>
      <c r="G195" s="192">
        <f>399661.61+1201331.45</f>
        <v>1600993.06</v>
      </c>
      <c r="H195" s="104" t="s">
        <v>1406</v>
      </c>
      <c r="I195" s="115" t="s">
        <v>1401</v>
      </c>
      <c r="J195" s="114">
        <v>0</v>
      </c>
    </row>
    <row r="196" spans="1:12" s="6" customFormat="1" ht="38.25" x14ac:dyDescent="0.2">
      <c r="A196" s="175">
        <v>190</v>
      </c>
      <c r="B196" s="183" t="s">
        <v>1443</v>
      </c>
      <c r="C196" s="110" t="s">
        <v>373</v>
      </c>
      <c r="D196" s="104" t="s">
        <v>1405</v>
      </c>
      <c r="E196" s="22" t="s">
        <v>20</v>
      </c>
      <c r="F196" s="40" t="s">
        <v>375</v>
      </c>
      <c r="G196" s="112">
        <v>554963.5</v>
      </c>
      <c r="H196" s="104" t="s">
        <v>1444</v>
      </c>
      <c r="I196" s="115" t="s">
        <v>1401</v>
      </c>
      <c r="J196" s="112">
        <v>0</v>
      </c>
    </row>
    <row r="197" spans="1:12" s="6" customFormat="1" ht="38.25" x14ac:dyDescent="0.2">
      <c r="A197" s="175">
        <v>191</v>
      </c>
      <c r="B197" s="183" t="s">
        <v>1445</v>
      </c>
      <c r="C197" s="110" t="s">
        <v>373</v>
      </c>
      <c r="D197" s="104" t="s">
        <v>1405</v>
      </c>
      <c r="E197" s="22" t="s">
        <v>20</v>
      </c>
      <c r="F197" s="40" t="s">
        <v>390</v>
      </c>
      <c r="G197" s="112">
        <v>129924.2</v>
      </c>
      <c r="H197" s="104" t="s">
        <v>1446</v>
      </c>
      <c r="I197" s="115" t="s">
        <v>1401</v>
      </c>
      <c r="J197" s="112">
        <v>0</v>
      </c>
      <c r="L197" s="149"/>
    </row>
    <row r="198" spans="1:12" s="6" customFormat="1" ht="38.25" x14ac:dyDescent="0.2">
      <c r="A198" s="175">
        <v>192</v>
      </c>
      <c r="B198" s="183" t="s">
        <v>1450</v>
      </c>
      <c r="C198" s="110" t="s">
        <v>373</v>
      </c>
      <c r="D198" s="104" t="s">
        <v>1405</v>
      </c>
      <c r="E198" s="22" t="s">
        <v>20</v>
      </c>
      <c r="F198" s="40" t="s">
        <v>1451</v>
      </c>
      <c r="G198" s="112">
        <v>22000</v>
      </c>
      <c r="H198" s="104" t="s">
        <v>1452</v>
      </c>
      <c r="I198" s="115" t="s">
        <v>1401</v>
      </c>
      <c r="J198" s="112">
        <v>0</v>
      </c>
      <c r="L198" s="149"/>
    </row>
    <row r="199" spans="1:12" s="6" customFormat="1" ht="38.25" x14ac:dyDescent="0.2">
      <c r="A199" s="175">
        <v>193</v>
      </c>
      <c r="B199" s="183" t="s">
        <v>1447</v>
      </c>
      <c r="C199" s="110" t="s">
        <v>205</v>
      </c>
      <c r="D199" s="104" t="s">
        <v>1448</v>
      </c>
      <c r="E199" s="22" t="s">
        <v>20</v>
      </c>
      <c r="F199" s="40" t="s">
        <v>78</v>
      </c>
      <c r="G199" s="112">
        <v>1218000</v>
      </c>
      <c r="H199" s="104" t="s">
        <v>1449</v>
      </c>
      <c r="I199" s="115" t="s">
        <v>1401</v>
      </c>
      <c r="J199" s="112">
        <v>0</v>
      </c>
      <c r="L199" s="149"/>
    </row>
    <row r="200" spans="1:12" s="6" customFormat="1" ht="38.25" x14ac:dyDescent="0.2">
      <c r="A200" s="175">
        <v>194</v>
      </c>
      <c r="B200" s="153" t="s">
        <v>1453</v>
      </c>
      <c r="C200" s="110" t="s">
        <v>205</v>
      </c>
      <c r="D200" s="104" t="s">
        <v>1448</v>
      </c>
      <c r="E200" s="22" t="s">
        <v>20</v>
      </c>
      <c r="F200" s="40" t="s">
        <v>1454</v>
      </c>
      <c r="G200" s="112">
        <v>194224.67</v>
      </c>
      <c r="H200" s="104" t="s">
        <v>1455</v>
      </c>
      <c r="I200" s="115" t="s">
        <v>1401</v>
      </c>
      <c r="J200" s="112">
        <v>0</v>
      </c>
      <c r="L200" s="149"/>
    </row>
    <row r="201" spans="1:12" s="6" customFormat="1" ht="38.25" x14ac:dyDescent="0.2">
      <c r="A201" s="175">
        <v>195</v>
      </c>
      <c r="B201" s="153" t="s">
        <v>1462</v>
      </c>
      <c r="C201" s="110" t="s">
        <v>759</v>
      </c>
      <c r="D201" s="104" t="s">
        <v>1463</v>
      </c>
      <c r="E201" s="22" t="s">
        <v>20</v>
      </c>
      <c r="F201" s="40" t="s">
        <v>904</v>
      </c>
      <c r="G201" s="112">
        <v>390409.95</v>
      </c>
      <c r="H201" s="104" t="s">
        <v>1465</v>
      </c>
      <c r="I201" s="115" t="s">
        <v>1464</v>
      </c>
      <c r="J201" s="112">
        <v>0</v>
      </c>
      <c r="L201" s="149"/>
    </row>
    <row r="202" spans="1:12" s="6" customFormat="1" ht="38.25" x14ac:dyDescent="0.2">
      <c r="A202" s="175">
        <v>196</v>
      </c>
      <c r="B202" s="153" t="s">
        <v>1470</v>
      </c>
      <c r="C202" s="110" t="s">
        <v>1298</v>
      </c>
      <c r="D202" s="104" t="s">
        <v>1299</v>
      </c>
      <c r="E202" s="22" t="s">
        <v>20</v>
      </c>
      <c r="F202" s="40" t="s">
        <v>519</v>
      </c>
      <c r="G202" s="112">
        <v>62487.5</v>
      </c>
      <c r="H202" s="104" t="s">
        <v>1472</v>
      </c>
      <c r="I202" s="115" t="s">
        <v>1471</v>
      </c>
      <c r="J202" s="112">
        <v>0</v>
      </c>
      <c r="L202" s="149"/>
    </row>
    <row r="203" spans="1:12" s="6" customFormat="1" ht="38.25" x14ac:dyDescent="0.2">
      <c r="A203" s="175">
        <v>197</v>
      </c>
      <c r="B203" s="153" t="s">
        <v>1483</v>
      </c>
      <c r="C203" s="110" t="s">
        <v>759</v>
      </c>
      <c r="D203" s="104" t="s">
        <v>1463</v>
      </c>
      <c r="E203" s="22" t="s">
        <v>20</v>
      </c>
      <c r="F203" s="40" t="s">
        <v>83</v>
      </c>
      <c r="G203" s="112">
        <v>11025</v>
      </c>
      <c r="H203" s="104" t="s">
        <v>1484</v>
      </c>
      <c r="I203" s="115" t="s">
        <v>1464</v>
      </c>
      <c r="J203" s="114">
        <v>0</v>
      </c>
      <c r="L203" s="149"/>
    </row>
    <row r="204" spans="1:12" s="6" customFormat="1" ht="38.25" x14ac:dyDescent="0.2">
      <c r="A204" s="175">
        <v>198</v>
      </c>
      <c r="B204" s="153" t="s">
        <v>1487</v>
      </c>
      <c r="C204" s="110" t="s">
        <v>1320</v>
      </c>
      <c r="D204" s="104" t="s">
        <v>1321</v>
      </c>
      <c r="E204" s="22" t="s">
        <v>20</v>
      </c>
      <c r="F204" s="40" t="s">
        <v>425</v>
      </c>
      <c r="G204" s="112">
        <v>278485</v>
      </c>
      <c r="H204" s="104" t="s">
        <v>1489</v>
      </c>
      <c r="I204" s="115" t="s">
        <v>1488</v>
      </c>
      <c r="J204" s="112">
        <v>0</v>
      </c>
      <c r="L204" s="149"/>
    </row>
    <row r="205" spans="1:12" s="6" customFormat="1" ht="38.25" x14ac:dyDescent="0.2">
      <c r="A205" s="175">
        <v>199</v>
      </c>
      <c r="B205" s="190" t="s">
        <v>1495</v>
      </c>
      <c r="C205" s="110" t="s">
        <v>630</v>
      </c>
      <c r="D205" s="104" t="s">
        <v>1496</v>
      </c>
      <c r="E205" s="22" t="s">
        <v>20</v>
      </c>
      <c r="F205" s="40" t="s">
        <v>1159</v>
      </c>
      <c r="G205" s="112">
        <v>262255</v>
      </c>
      <c r="H205" s="104" t="s">
        <v>1498</v>
      </c>
      <c r="I205" s="115" t="s">
        <v>1497</v>
      </c>
      <c r="J205" s="112">
        <v>0</v>
      </c>
      <c r="L205" s="149"/>
    </row>
    <row r="206" spans="1:12" s="6" customFormat="1" ht="38.25" x14ac:dyDescent="0.2">
      <c r="A206" s="175">
        <v>200</v>
      </c>
      <c r="B206" s="153" t="s">
        <v>1503</v>
      </c>
      <c r="C206" s="110" t="s">
        <v>1504</v>
      </c>
      <c r="D206" s="104" t="s">
        <v>1505</v>
      </c>
      <c r="E206" s="22" t="s">
        <v>20</v>
      </c>
      <c r="F206" s="40" t="s">
        <v>1506</v>
      </c>
      <c r="G206" s="112">
        <v>360990</v>
      </c>
      <c r="H206" s="104" t="s">
        <v>1507</v>
      </c>
      <c r="I206" s="115" t="s">
        <v>1497</v>
      </c>
      <c r="J206" s="112">
        <v>0</v>
      </c>
      <c r="L206" s="149"/>
    </row>
    <row r="207" spans="1:12" s="6" customFormat="1" ht="38.25" x14ac:dyDescent="0.2">
      <c r="A207" s="175">
        <v>201</v>
      </c>
      <c r="B207" s="153" t="s">
        <v>1508</v>
      </c>
      <c r="C207" s="110" t="s">
        <v>205</v>
      </c>
      <c r="D207" s="104" t="s">
        <v>1448</v>
      </c>
      <c r="E207" s="22" t="s">
        <v>20</v>
      </c>
      <c r="F207" s="40" t="s">
        <v>261</v>
      </c>
      <c r="G207" s="112">
        <f>1082151.9+12552.75+30398.55</f>
        <v>1125103.2</v>
      </c>
      <c r="H207" s="104" t="s">
        <v>1509</v>
      </c>
      <c r="I207" s="115" t="s">
        <v>1471</v>
      </c>
      <c r="J207" s="112">
        <v>0</v>
      </c>
      <c r="L207" s="149"/>
    </row>
    <row r="208" spans="1:12" s="6" customFormat="1" ht="38.25" x14ac:dyDescent="0.2">
      <c r="A208" s="175">
        <v>202</v>
      </c>
      <c r="B208" s="153" t="s">
        <v>1510</v>
      </c>
      <c r="C208" s="110" t="s">
        <v>35</v>
      </c>
      <c r="D208" s="104" t="s">
        <v>1397</v>
      </c>
      <c r="E208" s="22" t="s">
        <v>20</v>
      </c>
      <c r="F208" s="40" t="s">
        <v>620</v>
      </c>
      <c r="G208" s="112">
        <v>171617.25</v>
      </c>
      <c r="H208" s="104" t="s">
        <v>1511</v>
      </c>
      <c r="I208" s="115" t="s">
        <v>1471</v>
      </c>
      <c r="J208" s="112">
        <v>0</v>
      </c>
      <c r="L208" s="149"/>
    </row>
    <row r="209" spans="1:12" s="6" customFormat="1" ht="38.25" x14ac:dyDescent="0.2">
      <c r="A209" s="175">
        <v>203</v>
      </c>
      <c r="B209" s="153" t="s">
        <v>1512</v>
      </c>
      <c r="C209" s="110" t="s">
        <v>1062</v>
      </c>
      <c r="D209" s="104" t="s">
        <v>1063</v>
      </c>
      <c r="E209" s="22" t="s">
        <v>20</v>
      </c>
      <c r="F209" s="40" t="s">
        <v>240</v>
      </c>
      <c r="G209" s="112">
        <v>643518.9</v>
      </c>
      <c r="H209" s="104" t="s">
        <v>1514</v>
      </c>
      <c r="I209" s="115" t="s">
        <v>1513</v>
      </c>
      <c r="J209" s="112">
        <v>0</v>
      </c>
      <c r="L209" s="149"/>
    </row>
    <row r="210" spans="1:12" s="6" customFormat="1" ht="38.25" x14ac:dyDescent="0.2">
      <c r="A210" s="175">
        <v>204</v>
      </c>
      <c r="B210" s="153" t="s">
        <v>1515</v>
      </c>
      <c r="C210" s="110" t="s">
        <v>759</v>
      </c>
      <c r="D210" s="104" t="s">
        <v>1463</v>
      </c>
      <c r="E210" s="22" t="s">
        <v>20</v>
      </c>
      <c r="F210" s="40" t="s">
        <v>78</v>
      </c>
      <c r="G210" s="112">
        <f>6772.5+133772</f>
        <v>140544.5</v>
      </c>
      <c r="H210" s="104" t="s">
        <v>1520</v>
      </c>
      <c r="I210" s="115" t="s">
        <v>1464</v>
      </c>
      <c r="J210" s="112">
        <v>0</v>
      </c>
    </row>
    <row r="211" spans="1:12" s="6" customFormat="1" ht="38.25" x14ac:dyDescent="0.2">
      <c r="A211" s="175">
        <v>205</v>
      </c>
      <c r="B211" s="153" t="s">
        <v>1516</v>
      </c>
      <c r="C211" s="110" t="s">
        <v>205</v>
      </c>
      <c r="D211" s="104" t="s">
        <v>1448</v>
      </c>
      <c r="E211" s="22" t="s">
        <v>20</v>
      </c>
      <c r="F211" s="40" t="s">
        <v>1135</v>
      </c>
      <c r="G211" s="112">
        <v>502845</v>
      </c>
      <c r="H211" s="104" t="s">
        <v>1517</v>
      </c>
      <c r="I211" s="115" t="s">
        <v>1471</v>
      </c>
      <c r="J211" s="112">
        <v>0</v>
      </c>
    </row>
    <row r="212" spans="1:12" s="6" customFormat="1" ht="38.25" x14ac:dyDescent="0.2">
      <c r="A212" s="175">
        <v>206</v>
      </c>
      <c r="B212" s="190" t="s">
        <v>1518</v>
      </c>
      <c r="C212" s="110" t="s">
        <v>630</v>
      </c>
      <c r="D212" s="104" t="s">
        <v>1496</v>
      </c>
      <c r="E212" s="22" t="s">
        <v>20</v>
      </c>
      <c r="F212" s="40" t="s">
        <v>78</v>
      </c>
      <c r="G212" s="112">
        <v>27500</v>
      </c>
      <c r="H212" s="104" t="s">
        <v>1519</v>
      </c>
      <c r="I212" s="115" t="s">
        <v>1497</v>
      </c>
      <c r="J212" s="112">
        <v>0</v>
      </c>
    </row>
    <row r="213" spans="1:12" s="6" customFormat="1" ht="38.25" x14ac:dyDescent="0.2">
      <c r="A213" s="175">
        <v>207</v>
      </c>
      <c r="B213" s="153" t="s">
        <v>1541</v>
      </c>
      <c r="C213" s="110" t="s">
        <v>1062</v>
      </c>
      <c r="D213" s="104" t="s">
        <v>1063</v>
      </c>
      <c r="E213" s="22" t="s">
        <v>20</v>
      </c>
      <c r="F213" s="40" t="s">
        <v>574</v>
      </c>
      <c r="G213" s="112">
        <v>37533.599999999999</v>
      </c>
      <c r="H213" s="104" t="s">
        <v>1542</v>
      </c>
      <c r="I213" s="115" t="s">
        <v>1513</v>
      </c>
      <c r="J213" s="112">
        <v>0</v>
      </c>
    </row>
    <row r="214" spans="1:12" s="6" customFormat="1" ht="38.25" x14ac:dyDescent="0.2">
      <c r="A214" s="175">
        <v>208</v>
      </c>
      <c r="B214" s="153" t="s">
        <v>1543</v>
      </c>
      <c r="C214" s="110" t="s">
        <v>1062</v>
      </c>
      <c r="D214" s="104" t="s">
        <v>1063</v>
      </c>
      <c r="E214" s="22" t="s">
        <v>20</v>
      </c>
      <c r="F214" s="40" t="s">
        <v>138</v>
      </c>
      <c r="G214" s="112">
        <v>196901.5</v>
      </c>
      <c r="H214" s="104" t="s">
        <v>1544</v>
      </c>
      <c r="I214" s="115" t="s">
        <v>1513</v>
      </c>
      <c r="J214" s="112">
        <v>0</v>
      </c>
    </row>
    <row r="215" spans="1:12" s="6" customFormat="1" ht="38.25" x14ac:dyDescent="0.2">
      <c r="A215" s="175">
        <v>209</v>
      </c>
      <c r="B215" s="183" t="s">
        <v>1547</v>
      </c>
      <c r="C215" s="40" t="s">
        <v>373</v>
      </c>
      <c r="D215" s="104" t="s">
        <v>1405</v>
      </c>
      <c r="E215" s="22" t="s">
        <v>20</v>
      </c>
      <c r="F215" s="40" t="s">
        <v>417</v>
      </c>
      <c r="G215" s="112">
        <v>43650</v>
      </c>
      <c r="H215" s="104" t="s">
        <v>1548</v>
      </c>
      <c r="I215" s="115" t="s">
        <v>1471</v>
      </c>
      <c r="J215" s="112">
        <v>0</v>
      </c>
    </row>
    <row r="216" spans="1:12" s="6" customFormat="1" ht="25.5" x14ac:dyDescent="0.2">
      <c r="A216" s="175">
        <v>210</v>
      </c>
      <c r="B216" s="153" t="s">
        <v>1549</v>
      </c>
      <c r="C216" s="40" t="s">
        <v>1550</v>
      </c>
      <c r="D216" s="104" t="s">
        <v>1551</v>
      </c>
      <c r="E216" s="22" t="s">
        <v>20</v>
      </c>
      <c r="F216" s="40" t="s">
        <v>138</v>
      </c>
      <c r="G216" s="112">
        <v>336112.5</v>
      </c>
      <c r="H216" s="104" t="s">
        <v>1553</v>
      </c>
      <c r="I216" s="115" t="s">
        <v>1552</v>
      </c>
      <c r="J216" s="112">
        <v>0</v>
      </c>
    </row>
    <row r="217" spans="1:12" s="6" customFormat="1" ht="38.25" x14ac:dyDescent="0.2">
      <c r="A217" s="175">
        <v>211</v>
      </c>
      <c r="B217" s="188" t="s">
        <v>1554</v>
      </c>
      <c r="C217" s="110" t="s">
        <v>1062</v>
      </c>
      <c r="D217" s="104" t="s">
        <v>1063</v>
      </c>
      <c r="E217" s="22" t="s">
        <v>20</v>
      </c>
      <c r="F217" s="128" t="s">
        <v>519</v>
      </c>
      <c r="G217" s="204">
        <v>169112.7</v>
      </c>
      <c r="H217" s="104" t="s">
        <v>1555</v>
      </c>
      <c r="I217" s="115" t="s">
        <v>1513</v>
      </c>
      <c r="J217" s="112">
        <v>0</v>
      </c>
    </row>
    <row r="218" spans="1:12" s="6" customFormat="1" ht="38.25" x14ac:dyDescent="0.2">
      <c r="A218" s="175">
        <v>212</v>
      </c>
      <c r="B218" s="153" t="s">
        <v>1573</v>
      </c>
      <c r="C218" s="110" t="s">
        <v>1574</v>
      </c>
      <c r="D218" s="104" t="s">
        <v>1575</v>
      </c>
      <c r="E218" s="22" t="s">
        <v>20</v>
      </c>
      <c r="F218" s="40" t="s">
        <v>211</v>
      </c>
      <c r="G218" s="119">
        <v>312037.28000000003</v>
      </c>
      <c r="H218" s="104" t="s">
        <v>1577</v>
      </c>
      <c r="I218" s="40" t="s">
        <v>1576</v>
      </c>
      <c r="J218" s="112">
        <v>0</v>
      </c>
    </row>
    <row r="219" spans="1:12" s="6" customFormat="1" ht="53.25" customHeight="1" x14ac:dyDescent="0.2">
      <c r="A219" s="175">
        <v>213</v>
      </c>
      <c r="B219" s="153" t="s">
        <v>1604</v>
      </c>
      <c r="C219" s="40" t="s">
        <v>1605</v>
      </c>
      <c r="D219" s="104" t="s">
        <v>1606</v>
      </c>
      <c r="E219" s="22" t="s">
        <v>20</v>
      </c>
      <c r="F219" s="40" t="s">
        <v>96</v>
      </c>
      <c r="G219" s="114">
        <f>469450*1.25</f>
        <v>586812.5</v>
      </c>
      <c r="H219" s="104" t="s">
        <v>1607</v>
      </c>
      <c r="I219" s="40" t="s">
        <v>1608</v>
      </c>
      <c r="J219" s="114">
        <v>97802.1</v>
      </c>
    </row>
    <row r="220" spans="1:12" s="6" customFormat="1" ht="38.25" x14ac:dyDescent="0.2">
      <c r="A220" s="175">
        <v>214</v>
      </c>
      <c r="B220" s="188" t="s">
        <v>1677</v>
      </c>
      <c r="C220" s="110" t="s">
        <v>60</v>
      </c>
      <c r="D220" s="104" t="s">
        <v>1678</v>
      </c>
      <c r="E220" s="22" t="s">
        <v>20</v>
      </c>
      <c r="F220" s="40" t="s">
        <v>138</v>
      </c>
      <c r="G220" s="114">
        <v>16218.75</v>
      </c>
      <c r="H220" s="104" t="s">
        <v>1679</v>
      </c>
      <c r="I220" s="40" t="s">
        <v>1680</v>
      </c>
      <c r="J220" s="112">
        <v>0</v>
      </c>
    </row>
    <row r="221" spans="1:12" s="6" customFormat="1" ht="38.25" x14ac:dyDescent="0.2">
      <c r="A221" s="175">
        <v>215</v>
      </c>
      <c r="B221" s="153" t="s">
        <v>1740</v>
      </c>
      <c r="C221" s="40" t="s">
        <v>1741</v>
      </c>
      <c r="D221" s="104" t="s">
        <v>4140</v>
      </c>
      <c r="E221" s="22" t="s">
        <v>20</v>
      </c>
      <c r="F221" s="40" t="s">
        <v>249</v>
      </c>
      <c r="G221" s="114">
        <f>1100000*1.25</f>
        <v>1375000</v>
      </c>
      <c r="H221" s="104" t="s">
        <v>1742</v>
      </c>
      <c r="I221" s="40" t="s">
        <v>1608</v>
      </c>
      <c r="J221" s="112">
        <v>72569.440000000002</v>
      </c>
    </row>
    <row r="222" spans="1:12" s="6" customFormat="1" ht="38.25" x14ac:dyDescent="0.2">
      <c r="A222" s="175">
        <v>216</v>
      </c>
      <c r="B222" s="152" t="s">
        <v>1794</v>
      </c>
      <c r="C222" s="110" t="s">
        <v>744</v>
      </c>
      <c r="D222" s="104" t="s">
        <v>1795</v>
      </c>
      <c r="E222" s="22" t="s">
        <v>20</v>
      </c>
      <c r="F222" s="40" t="s">
        <v>49</v>
      </c>
      <c r="G222" s="114">
        <v>90233.5</v>
      </c>
      <c r="H222" s="104" t="s">
        <v>1796</v>
      </c>
      <c r="I222" s="40" t="s">
        <v>1797</v>
      </c>
      <c r="J222" s="114">
        <v>0</v>
      </c>
    </row>
    <row r="223" spans="1:12" s="6" customFormat="1" ht="38.25" x14ac:dyDescent="0.2">
      <c r="A223" s="175">
        <v>217</v>
      </c>
      <c r="B223" s="152" t="s">
        <v>1798</v>
      </c>
      <c r="C223" s="110" t="s">
        <v>744</v>
      </c>
      <c r="D223" s="104" t="s">
        <v>1795</v>
      </c>
      <c r="E223" s="22" t="s">
        <v>20</v>
      </c>
      <c r="F223" s="40" t="s">
        <v>78</v>
      </c>
      <c r="G223" s="114">
        <v>102500</v>
      </c>
      <c r="H223" s="104" t="s">
        <v>1799</v>
      </c>
      <c r="I223" s="40" t="s">
        <v>1797</v>
      </c>
      <c r="J223" s="112">
        <v>0</v>
      </c>
    </row>
    <row r="224" spans="1:12" s="6" customFormat="1" ht="38.25" x14ac:dyDescent="0.2">
      <c r="A224" s="175">
        <v>218</v>
      </c>
      <c r="B224" s="152" t="s">
        <v>1802</v>
      </c>
      <c r="C224" s="40" t="s">
        <v>825</v>
      </c>
      <c r="D224" s="104" t="s">
        <v>1803</v>
      </c>
      <c r="E224" s="22" t="s">
        <v>20</v>
      </c>
      <c r="F224" s="40" t="s">
        <v>400</v>
      </c>
      <c r="G224" s="114">
        <v>192680.06</v>
      </c>
      <c r="H224" s="104" t="s">
        <v>1804</v>
      </c>
      <c r="I224" s="40" t="s">
        <v>1805</v>
      </c>
      <c r="J224" s="114">
        <v>0</v>
      </c>
    </row>
    <row r="225" spans="1:11" s="6" customFormat="1" ht="38.25" x14ac:dyDescent="0.2">
      <c r="A225" s="175">
        <v>219</v>
      </c>
      <c r="B225" s="152" t="s">
        <v>1810</v>
      </c>
      <c r="C225" s="40" t="s">
        <v>1808</v>
      </c>
      <c r="D225" s="104" t="s">
        <v>1809</v>
      </c>
      <c r="E225" s="22" t="s">
        <v>20</v>
      </c>
      <c r="F225" s="40" t="s">
        <v>1811</v>
      </c>
      <c r="G225" s="114">
        <v>2500000</v>
      </c>
      <c r="H225" s="104" t="s">
        <v>1813</v>
      </c>
      <c r="I225" s="40" t="s">
        <v>1812</v>
      </c>
      <c r="J225" s="114">
        <v>625000.02</v>
      </c>
    </row>
    <row r="226" spans="1:11" s="6" customFormat="1" ht="38.25" x14ac:dyDescent="0.2">
      <c r="A226" s="175">
        <v>220</v>
      </c>
      <c r="B226" s="153" t="s">
        <v>1845</v>
      </c>
      <c r="C226" s="181" t="s">
        <v>1062</v>
      </c>
      <c r="D226" s="104" t="s">
        <v>1063</v>
      </c>
      <c r="E226" s="22" t="s">
        <v>20</v>
      </c>
      <c r="F226" s="40" t="s">
        <v>904</v>
      </c>
      <c r="G226" s="114">
        <v>34440</v>
      </c>
      <c r="H226" s="104" t="s">
        <v>1846</v>
      </c>
      <c r="I226" s="40" t="s">
        <v>1805</v>
      </c>
      <c r="J226" s="114">
        <v>0</v>
      </c>
    </row>
    <row r="227" spans="1:11" s="6" customFormat="1" ht="38.25" x14ac:dyDescent="0.2">
      <c r="A227" s="175">
        <v>221</v>
      </c>
      <c r="B227" s="152" t="s">
        <v>1847</v>
      </c>
      <c r="C227" s="131" t="s">
        <v>99</v>
      </c>
      <c r="D227" s="177" t="s">
        <v>100</v>
      </c>
      <c r="E227" s="22" t="s">
        <v>20</v>
      </c>
      <c r="F227" s="40" t="s">
        <v>947</v>
      </c>
      <c r="G227" s="114">
        <v>320250</v>
      </c>
      <c r="H227" s="104" t="s">
        <v>1848</v>
      </c>
      <c r="I227" s="40" t="s">
        <v>1849</v>
      </c>
      <c r="J227" s="114">
        <v>0</v>
      </c>
    </row>
    <row r="228" spans="1:11" s="6" customFormat="1" ht="38.25" x14ac:dyDescent="0.2">
      <c r="A228" s="175">
        <v>222</v>
      </c>
      <c r="B228" s="153" t="s">
        <v>1850</v>
      </c>
      <c r="C228" s="131" t="s">
        <v>1852</v>
      </c>
      <c r="D228" s="104" t="s">
        <v>4000</v>
      </c>
      <c r="E228" s="22" t="s">
        <v>20</v>
      </c>
      <c r="F228" s="40" t="s">
        <v>83</v>
      </c>
      <c r="G228" s="114">
        <v>1619103</v>
      </c>
      <c r="H228" s="104" t="s">
        <v>1851</v>
      </c>
      <c r="I228" s="40" t="s">
        <v>1849</v>
      </c>
      <c r="J228" s="114">
        <v>0</v>
      </c>
    </row>
    <row r="229" spans="1:11" s="6" customFormat="1" ht="38.25" x14ac:dyDescent="0.2">
      <c r="A229" s="175">
        <v>223</v>
      </c>
      <c r="B229" s="153" t="s">
        <v>1853</v>
      </c>
      <c r="C229" s="131" t="s">
        <v>1852</v>
      </c>
      <c r="D229" s="104" t="s">
        <v>4000</v>
      </c>
      <c r="E229" s="22" t="s">
        <v>20</v>
      </c>
      <c r="F229" s="40" t="s">
        <v>885</v>
      </c>
      <c r="G229" s="114">
        <v>10614024.5</v>
      </c>
      <c r="H229" s="104" t="s">
        <v>1854</v>
      </c>
      <c r="I229" s="40" t="s">
        <v>1849</v>
      </c>
      <c r="J229" s="112">
        <v>0</v>
      </c>
    </row>
    <row r="230" spans="1:11" s="6" customFormat="1" ht="38.25" x14ac:dyDescent="0.2">
      <c r="A230" s="175">
        <v>224</v>
      </c>
      <c r="B230" s="158" t="s">
        <v>1855</v>
      </c>
      <c r="C230" s="131" t="s">
        <v>99</v>
      </c>
      <c r="D230" s="177" t="s">
        <v>100</v>
      </c>
      <c r="E230" s="22" t="s">
        <v>20</v>
      </c>
      <c r="F230" s="40" t="s">
        <v>885</v>
      </c>
      <c r="G230" s="119">
        <v>621075</v>
      </c>
      <c r="H230" s="104" t="s">
        <v>1856</v>
      </c>
      <c r="I230" s="40" t="s">
        <v>1849</v>
      </c>
      <c r="J230" s="112">
        <v>0</v>
      </c>
      <c r="K230" s="202"/>
    </row>
    <row r="231" spans="1:11" s="6" customFormat="1" ht="38.25" x14ac:dyDescent="0.2">
      <c r="A231" s="175">
        <v>225</v>
      </c>
      <c r="B231" s="152" t="s">
        <v>1859</v>
      </c>
      <c r="C231" s="40" t="s">
        <v>1860</v>
      </c>
      <c r="D231" s="104" t="s">
        <v>3515</v>
      </c>
      <c r="E231" s="22" t="s">
        <v>20</v>
      </c>
      <c r="F231" s="40" t="s">
        <v>1861</v>
      </c>
      <c r="G231" s="114">
        <v>459690</v>
      </c>
      <c r="H231" s="104" t="s">
        <v>1862</v>
      </c>
      <c r="I231" s="40" t="s">
        <v>1805</v>
      </c>
      <c r="J231" s="114">
        <v>445</v>
      </c>
    </row>
    <row r="232" spans="1:11" s="6" customFormat="1" ht="38.25" x14ac:dyDescent="0.2">
      <c r="A232" s="175">
        <v>226</v>
      </c>
      <c r="B232" s="153" t="s">
        <v>1868</v>
      </c>
      <c r="C232" s="110" t="s">
        <v>1062</v>
      </c>
      <c r="D232" s="104" t="s">
        <v>4139</v>
      </c>
      <c r="E232" s="22" t="s">
        <v>20</v>
      </c>
      <c r="F232" s="40" t="s">
        <v>1869</v>
      </c>
      <c r="G232" s="114">
        <f>71812.5+11550+33180+27405+22500</f>
        <v>166447.5</v>
      </c>
      <c r="H232" s="104" t="s">
        <v>1870</v>
      </c>
      <c r="I232" s="40" t="s">
        <v>1805</v>
      </c>
      <c r="J232" s="114">
        <v>0</v>
      </c>
    </row>
    <row r="233" spans="1:11" s="6" customFormat="1" ht="38.25" x14ac:dyDescent="0.2">
      <c r="A233" s="175">
        <v>227</v>
      </c>
      <c r="B233" s="153" t="s">
        <v>1875</v>
      </c>
      <c r="C233" s="110" t="s">
        <v>373</v>
      </c>
      <c r="D233" s="104" t="s">
        <v>2537</v>
      </c>
      <c r="E233" s="22" t="s">
        <v>20</v>
      </c>
      <c r="F233" s="40" t="s">
        <v>62</v>
      </c>
      <c r="G233" s="114">
        <f>25660.62+9948.12+7312.5</f>
        <v>42921.24</v>
      </c>
      <c r="H233" s="104" t="s">
        <v>1876</v>
      </c>
      <c r="I233" s="40" t="s">
        <v>1832</v>
      </c>
      <c r="J233" s="114">
        <v>0</v>
      </c>
    </row>
    <row r="234" spans="1:11" s="6" customFormat="1" ht="38.25" x14ac:dyDescent="0.2">
      <c r="A234" s="175">
        <v>228</v>
      </c>
      <c r="B234" s="153" t="s">
        <v>1877</v>
      </c>
      <c r="C234" s="110" t="s">
        <v>373</v>
      </c>
      <c r="D234" s="104" t="s">
        <v>2537</v>
      </c>
      <c r="E234" s="22" t="s">
        <v>20</v>
      </c>
      <c r="F234" s="40" t="s">
        <v>724</v>
      </c>
      <c r="G234" s="114">
        <v>25075</v>
      </c>
      <c r="H234" s="104" t="s">
        <v>1878</v>
      </c>
      <c r="I234" s="40" t="s">
        <v>1832</v>
      </c>
      <c r="J234" s="112">
        <v>0</v>
      </c>
    </row>
    <row r="235" spans="1:11" s="6" customFormat="1" ht="38.25" x14ac:dyDescent="0.2">
      <c r="A235" s="175">
        <v>229</v>
      </c>
      <c r="B235" s="153" t="s">
        <v>1879</v>
      </c>
      <c r="C235" s="110" t="s">
        <v>373</v>
      </c>
      <c r="D235" s="104" t="s">
        <v>2537</v>
      </c>
      <c r="E235" s="22" t="s">
        <v>20</v>
      </c>
      <c r="F235" s="40" t="s">
        <v>78</v>
      </c>
      <c r="G235" s="114">
        <f>16587.5+1187.5+2462.5</f>
        <v>20237.5</v>
      </c>
      <c r="H235" s="104" t="s">
        <v>1880</v>
      </c>
      <c r="I235" s="40" t="s">
        <v>1832</v>
      </c>
      <c r="J235" s="112">
        <v>0</v>
      </c>
    </row>
    <row r="236" spans="1:11" s="6" customFormat="1" ht="38.25" x14ac:dyDescent="0.2">
      <c r="A236" s="175">
        <v>230</v>
      </c>
      <c r="B236" s="153" t="s">
        <v>1881</v>
      </c>
      <c r="C236" s="110" t="s">
        <v>373</v>
      </c>
      <c r="D236" s="104" t="s">
        <v>2537</v>
      </c>
      <c r="E236" s="22" t="s">
        <v>20</v>
      </c>
      <c r="F236" s="40" t="s">
        <v>1882</v>
      </c>
      <c r="G236" s="114">
        <f>20968.75+13350</f>
        <v>34318.75</v>
      </c>
      <c r="H236" s="104" t="s">
        <v>1883</v>
      </c>
      <c r="I236" s="40" t="s">
        <v>1832</v>
      </c>
      <c r="J236" s="114">
        <v>0</v>
      </c>
    </row>
    <row r="237" spans="1:11" s="6" customFormat="1" ht="38.25" x14ac:dyDescent="0.2">
      <c r="A237" s="175">
        <v>231</v>
      </c>
      <c r="B237" s="153" t="s">
        <v>1888</v>
      </c>
      <c r="C237" s="40" t="s">
        <v>1889</v>
      </c>
      <c r="D237" s="104" t="s">
        <v>4138</v>
      </c>
      <c r="E237" s="22" t="s">
        <v>20</v>
      </c>
      <c r="F237" s="40" t="s">
        <v>1890</v>
      </c>
      <c r="G237" s="114">
        <f>632174.12*1.25</f>
        <v>790217.65</v>
      </c>
      <c r="H237" s="104" t="s">
        <v>1891</v>
      </c>
      <c r="I237" s="40" t="s">
        <v>1892</v>
      </c>
      <c r="J237" s="114">
        <v>164487.04000000001</v>
      </c>
    </row>
    <row r="238" spans="1:11" s="6" customFormat="1" ht="38.25" x14ac:dyDescent="0.2">
      <c r="A238" s="175">
        <v>232</v>
      </c>
      <c r="B238" s="152" t="s">
        <v>1893</v>
      </c>
      <c r="C238" s="40" t="s">
        <v>1860</v>
      </c>
      <c r="D238" s="104" t="s">
        <v>3515</v>
      </c>
      <c r="E238" s="22" t="s">
        <v>20</v>
      </c>
      <c r="F238" s="40" t="s">
        <v>1894</v>
      </c>
      <c r="G238" s="114">
        <f>604101*1.25</f>
        <v>755126.25</v>
      </c>
      <c r="H238" s="104" t="s">
        <v>1895</v>
      </c>
      <c r="I238" s="40" t="s">
        <v>1896</v>
      </c>
      <c r="J238" s="114">
        <v>565</v>
      </c>
    </row>
    <row r="239" spans="1:11" s="6" customFormat="1" ht="38.25" x14ac:dyDescent="0.2">
      <c r="A239" s="175">
        <v>233</v>
      </c>
      <c r="B239" s="152" t="s">
        <v>1898</v>
      </c>
      <c r="C239" s="40" t="s">
        <v>1897</v>
      </c>
      <c r="D239" s="104" t="s">
        <v>4137</v>
      </c>
      <c r="E239" s="22" t="s">
        <v>20</v>
      </c>
      <c r="F239" s="40" t="s">
        <v>21</v>
      </c>
      <c r="G239" s="114">
        <f>259550*1.25</f>
        <v>324437.5</v>
      </c>
      <c r="H239" s="104" t="s">
        <v>1899</v>
      </c>
      <c r="I239" s="40" t="s">
        <v>1900</v>
      </c>
      <c r="J239" s="114">
        <v>0</v>
      </c>
    </row>
    <row r="240" spans="1:11" s="6" customFormat="1" ht="38.25" x14ac:dyDescent="0.2">
      <c r="A240" s="175">
        <v>234</v>
      </c>
      <c r="B240" s="153" t="s">
        <v>1901</v>
      </c>
      <c r="C240" s="110" t="s">
        <v>373</v>
      </c>
      <c r="D240" s="104" t="s">
        <v>2537</v>
      </c>
      <c r="E240" s="22" t="s">
        <v>20</v>
      </c>
      <c r="F240" s="40" t="s">
        <v>138</v>
      </c>
      <c r="G240" s="114">
        <v>7250</v>
      </c>
      <c r="H240" s="104" t="s">
        <v>1902</v>
      </c>
      <c r="I240" s="40" t="s">
        <v>1832</v>
      </c>
      <c r="J240" s="114">
        <v>0</v>
      </c>
    </row>
    <row r="241" spans="1:11" s="6" customFormat="1" ht="38.25" x14ac:dyDescent="0.2">
      <c r="A241" s="175">
        <v>235</v>
      </c>
      <c r="B241" s="153" t="s">
        <v>1913</v>
      </c>
      <c r="C241" s="40" t="s">
        <v>1914</v>
      </c>
      <c r="D241" s="104" t="s">
        <v>4136</v>
      </c>
      <c r="E241" s="22" t="s">
        <v>20</v>
      </c>
      <c r="F241" s="40" t="s">
        <v>1915</v>
      </c>
      <c r="G241" s="114">
        <f>250000*1.25</f>
        <v>312500</v>
      </c>
      <c r="H241" s="104" t="s">
        <v>1916</v>
      </c>
      <c r="I241" s="40" t="s">
        <v>1917</v>
      </c>
      <c r="J241" s="114">
        <v>52083.32</v>
      </c>
    </row>
    <row r="242" spans="1:11" s="6" customFormat="1" ht="38.25" x14ac:dyDescent="0.2">
      <c r="A242" s="175">
        <v>236</v>
      </c>
      <c r="B242" s="153" t="s">
        <v>1918</v>
      </c>
      <c r="C242" s="40" t="s">
        <v>373</v>
      </c>
      <c r="D242" s="104" t="s">
        <v>2537</v>
      </c>
      <c r="E242" s="22" t="s">
        <v>20</v>
      </c>
      <c r="F242" s="40" t="s">
        <v>375</v>
      </c>
      <c r="G242" s="114">
        <f>24862.5+12345</f>
        <v>37207.5</v>
      </c>
      <c r="H242" s="104" t="s">
        <v>1919</v>
      </c>
      <c r="I242" s="40" t="s">
        <v>1832</v>
      </c>
      <c r="J242" s="112">
        <v>0</v>
      </c>
    </row>
    <row r="243" spans="1:11" s="6" customFormat="1" ht="38.25" x14ac:dyDescent="0.2">
      <c r="A243" s="175">
        <v>237</v>
      </c>
      <c r="B243" s="153" t="s">
        <v>1934</v>
      </c>
      <c r="C243" s="40" t="s">
        <v>1935</v>
      </c>
      <c r="D243" s="104" t="s">
        <v>4135</v>
      </c>
      <c r="E243" s="22" t="s">
        <v>20</v>
      </c>
      <c r="F243" s="40" t="s">
        <v>78</v>
      </c>
      <c r="G243" s="114">
        <f>265875*1.25</f>
        <v>332343.75</v>
      </c>
      <c r="H243" s="104" t="s">
        <v>1936</v>
      </c>
      <c r="I243" s="40" t="s">
        <v>1832</v>
      </c>
      <c r="J243" s="112">
        <v>27695</v>
      </c>
    </row>
    <row r="244" spans="1:11" s="6" customFormat="1" ht="38.25" x14ac:dyDescent="0.2">
      <c r="A244" s="175">
        <v>238</v>
      </c>
      <c r="B244" s="153" t="s">
        <v>1940</v>
      </c>
      <c r="C244" s="40" t="s">
        <v>825</v>
      </c>
      <c r="D244" s="104" t="s">
        <v>826</v>
      </c>
      <c r="E244" s="22" t="s">
        <v>20</v>
      </c>
      <c r="F244" s="40" t="s">
        <v>767</v>
      </c>
      <c r="G244" s="114">
        <v>11071.47</v>
      </c>
      <c r="H244" s="104" t="s">
        <v>1941</v>
      </c>
      <c r="I244" s="40" t="s">
        <v>1805</v>
      </c>
      <c r="J244" s="112">
        <v>0</v>
      </c>
    </row>
    <row r="245" spans="1:11" s="6" customFormat="1" ht="38.25" x14ac:dyDescent="0.2">
      <c r="A245" s="175">
        <v>239</v>
      </c>
      <c r="B245" s="152" t="s">
        <v>1949</v>
      </c>
      <c r="C245" s="40" t="s">
        <v>1860</v>
      </c>
      <c r="D245" s="104" t="s">
        <v>3515</v>
      </c>
      <c r="E245" s="22" t="s">
        <v>20</v>
      </c>
      <c r="F245" s="40" t="s">
        <v>1950</v>
      </c>
      <c r="G245" s="114">
        <v>105212.5</v>
      </c>
      <c r="H245" s="104" t="s">
        <v>1951</v>
      </c>
      <c r="I245" s="40" t="s">
        <v>1805</v>
      </c>
      <c r="J245" s="114">
        <v>9137.5</v>
      </c>
    </row>
    <row r="246" spans="1:11" s="6" customFormat="1" ht="38.25" x14ac:dyDescent="0.2">
      <c r="A246" s="175">
        <v>240</v>
      </c>
      <c r="B246" s="153" t="s">
        <v>1952</v>
      </c>
      <c r="C246" s="40" t="s">
        <v>373</v>
      </c>
      <c r="D246" s="104" t="s">
        <v>2537</v>
      </c>
      <c r="E246" s="22" t="s">
        <v>20</v>
      </c>
      <c r="F246" s="40" t="s">
        <v>417</v>
      </c>
      <c r="G246" s="114">
        <v>6537.5</v>
      </c>
      <c r="H246" s="104" t="s">
        <v>1953</v>
      </c>
      <c r="I246" s="40" t="s">
        <v>1832</v>
      </c>
      <c r="J246" s="112">
        <v>0</v>
      </c>
    </row>
    <row r="247" spans="1:11" s="6" customFormat="1" ht="38.25" x14ac:dyDescent="0.2">
      <c r="A247" s="175">
        <v>241</v>
      </c>
      <c r="B247" s="153" t="s">
        <v>2031</v>
      </c>
      <c r="C247" s="193" t="s">
        <v>1062</v>
      </c>
      <c r="D247" s="104" t="s">
        <v>1063</v>
      </c>
      <c r="E247" s="22" t="s">
        <v>20</v>
      </c>
      <c r="F247" s="40" t="s">
        <v>385</v>
      </c>
      <c r="G247" s="114">
        <v>139837.5</v>
      </c>
      <c r="H247" s="104" t="s">
        <v>2032</v>
      </c>
      <c r="I247" s="40" t="s">
        <v>1907</v>
      </c>
      <c r="J247" s="112">
        <v>0</v>
      </c>
    </row>
    <row r="248" spans="1:11" s="6" customFormat="1" ht="38.25" x14ac:dyDescent="0.2">
      <c r="A248" s="175">
        <v>242</v>
      </c>
      <c r="B248" s="188" t="s">
        <v>2035</v>
      </c>
      <c r="C248" s="128" t="s">
        <v>476</v>
      </c>
      <c r="D248" s="104" t="s">
        <v>2626</v>
      </c>
      <c r="E248" s="45" t="s">
        <v>20</v>
      </c>
      <c r="F248" s="128" t="s">
        <v>716</v>
      </c>
      <c r="G248" s="129">
        <f>1493452.98+2074989.57+1013967.63+65625+65075.88+120382</f>
        <v>4833493.0599999996</v>
      </c>
      <c r="H248" s="136" t="s">
        <v>2036</v>
      </c>
      <c r="I248" s="128" t="s">
        <v>1907</v>
      </c>
      <c r="J248" s="112">
        <v>0</v>
      </c>
    </row>
    <row r="249" spans="1:11" s="6" customFormat="1" ht="38.25" x14ac:dyDescent="0.2">
      <c r="A249" s="175">
        <v>243</v>
      </c>
      <c r="B249" s="153" t="s">
        <v>2037</v>
      </c>
      <c r="C249" s="40" t="s">
        <v>373</v>
      </c>
      <c r="D249" s="104" t="s">
        <v>2537</v>
      </c>
      <c r="E249" s="45" t="s">
        <v>20</v>
      </c>
      <c r="F249" s="40" t="s">
        <v>347</v>
      </c>
      <c r="G249" s="114">
        <v>12641.55</v>
      </c>
      <c r="H249" s="136" t="s">
        <v>2038</v>
      </c>
      <c r="I249" s="40" t="s">
        <v>1832</v>
      </c>
      <c r="J249" s="112">
        <v>0</v>
      </c>
    </row>
    <row r="250" spans="1:11" s="6" customFormat="1" ht="38.25" x14ac:dyDescent="0.2">
      <c r="A250" s="175">
        <v>244</v>
      </c>
      <c r="B250" s="165" t="s">
        <v>1875</v>
      </c>
      <c r="C250" s="40" t="s">
        <v>373</v>
      </c>
      <c r="D250" s="104" t="s">
        <v>2537</v>
      </c>
      <c r="E250" s="45" t="s">
        <v>20</v>
      </c>
      <c r="F250" s="40" t="s">
        <v>62</v>
      </c>
      <c r="G250" s="119">
        <f>25660.62+9946.88+7312.5</f>
        <v>42920</v>
      </c>
      <c r="H250" s="104" t="s">
        <v>2141</v>
      </c>
      <c r="I250" s="115">
        <v>43008</v>
      </c>
      <c r="J250" s="114">
        <v>0</v>
      </c>
      <c r="K250" s="202"/>
    </row>
    <row r="251" spans="1:11" s="6" customFormat="1" ht="38.25" x14ac:dyDescent="0.2">
      <c r="A251" s="175">
        <v>245</v>
      </c>
      <c r="B251" s="152" t="s">
        <v>2232</v>
      </c>
      <c r="C251" s="40" t="s">
        <v>2233</v>
      </c>
      <c r="D251" s="104" t="s">
        <v>2625</v>
      </c>
      <c r="E251" s="45" t="s">
        <v>20</v>
      </c>
      <c r="F251" s="40" t="s">
        <v>75</v>
      </c>
      <c r="G251" s="114">
        <f>259560*1.25</f>
        <v>324450</v>
      </c>
      <c r="H251" s="104" t="s">
        <v>2234</v>
      </c>
      <c r="I251" s="40"/>
      <c r="J251" s="112">
        <v>0</v>
      </c>
    </row>
    <row r="252" spans="1:11" s="6" customFormat="1" ht="38.25" x14ac:dyDescent="0.2">
      <c r="A252" s="175">
        <v>246</v>
      </c>
      <c r="B252" s="153" t="s">
        <v>2271</v>
      </c>
      <c r="C252" s="40" t="s">
        <v>373</v>
      </c>
      <c r="D252" s="104" t="s">
        <v>2537</v>
      </c>
      <c r="E252" s="45" t="s">
        <v>20</v>
      </c>
      <c r="F252" s="40" t="s">
        <v>724</v>
      </c>
      <c r="G252" s="114">
        <v>140892.5</v>
      </c>
      <c r="H252" s="104" t="s">
        <v>2272</v>
      </c>
      <c r="I252" s="40" t="s">
        <v>2273</v>
      </c>
      <c r="J252" s="112">
        <v>0</v>
      </c>
    </row>
    <row r="253" spans="1:11" s="6" customFormat="1" ht="38.25" x14ac:dyDescent="0.2">
      <c r="A253" s="175">
        <v>247</v>
      </c>
      <c r="B253" s="153" t="s">
        <v>2274</v>
      </c>
      <c r="C253" s="40" t="s">
        <v>1142</v>
      </c>
      <c r="D253" s="104" t="s">
        <v>2623</v>
      </c>
      <c r="E253" s="45" t="s">
        <v>20</v>
      </c>
      <c r="F253" s="40" t="s">
        <v>375</v>
      </c>
      <c r="G253" s="114">
        <f>8917.5+146625+243124.5+198808+27342.5</f>
        <v>624817.5</v>
      </c>
      <c r="H253" s="104" t="s">
        <v>2275</v>
      </c>
      <c r="I253" s="40" t="s">
        <v>2273</v>
      </c>
      <c r="J253" s="112">
        <v>0</v>
      </c>
    </row>
    <row r="254" spans="1:11" s="6" customFormat="1" ht="38.25" x14ac:dyDescent="0.2">
      <c r="A254" s="175">
        <v>248</v>
      </c>
      <c r="B254" s="153" t="s">
        <v>2333</v>
      </c>
      <c r="C254" s="40" t="s">
        <v>373</v>
      </c>
      <c r="D254" s="104" t="s">
        <v>2537</v>
      </c>
      <c r="E254" s="45" t="s">
        <v>20</v>
      </c>
      <c r="F254" s="40" t="s">
        <v>375</v>
      </c>
      <c r="G254" s="114">
        <v>100311.38</v>
      </c>
      <c r="H254" s="104" t="s">
        <v>2332</v>
      </c>
      <c r="I254" s="40" t="s">
        <v>2273</v>
      </c>
      <c r="J254" s="112">
        <v>0</v>
      </c>
    </row>
    <row r="255" spans="1:11" s="6" customFormat="1" ht="38.25" x14ac:dyDescent="0.2">
      <c r="A255" s="175">
        <v>249</v>
      </c>
      <c r="B255" s="153" t="s">
        <v>2334</v>
      </c>
      <c r="C255" s="40" t="s">
        <v>1142</v>
      </c>
      <c r="D255" s="104" t="s">
        <v>2623</v>
      </c>
      <c r="E255" s="45" t="s">
        <v>20</v>
      </c>
      <c r="F255" s="40" t="s">
        <v>78</v>
      </c>
      <c r="G255" s="114">
        <v>10000</v>
      </c>
      <c r="H255" s="104" t="s">
        <v>2335</v>
      </c>
      <c r="I255" s="40" t="s">
        <v>2273</v>
      </c>
      <c r="J255" s="112">
        <v>0</v>
      </c>
    </row>
    <row r="256" spans="1:11" s="6" customFormat="1" ht="38.25" x14ac:dyDescent="0.2">
      <c r="A256" s="175">
        <v>250</v>
      </c>
      <c r="B256" s="153" t="s">
        <v>2342</v>
      </c>
      <c r="C256" s="40" t="s">
        <v>2343</v>
      </c>
      <c r="D256" s="104" t="s">
        <v>2624</v>
      </c>
      <c r="E256" s="45" t="s">
        <v>20</v>
      </c>
      <c r="F256" s="40" t="s">
        <v>1155</v>
      </c>
      <c r="G256" s="114">
        <f>562475.63</f>
        <v>562475.63</v>
      </c>
      <c r="H256" s="104" t="s">
        <v>2344</v>
      </c>
      <c r="I256" s="40" t="s">
        <v>2273</v>
      </c>
      <c r="J256" s="114">
        <v>93745.96</v>
      </c>
    </row>
    <row r="257" spans="1:12" s="6" customFormat="1" ht="38.25" x14ac:dyDescent="0.2">
      <c r="A257" s="175">
        <v>251</v>
      </c>
      <c r="B257" s="153" t="s">
        <v>2345</v>
      </c>
      <c r="C257" s="40" t="s">
        <v>373</v>
      </c>
      <c r="D257" s="104" t="s">
        <v>2537</v>
      </c>
      <c r="E257" s="45" t="s">
        <v>20</v>
      </c>
      <c r="F257" s="40" t="s">
        <v>2346</v>
      </c>
      <c r="G257" s="114">
        <v>4253.8599999999997</v>
      </c>
      <c r="H257" s="104" t="s">
        <v>2347</v>
      </c>
      <c r="I257" s="40" t="s">
        <v>2273</v>
      </c>
      <c r="J257" s="114">
        <v>0</v>
      </c>
    </row>
    <row r="258" spans="1:12" s="6" customFormat="1" ht="38.25" x14ac:dyDescent="0.2">
      <c r="A258" s="175">
        <v>252</v>
      </c>
      <c r="B258" s="153" t="s">
        <v>2374</v>
      </c>
      <c r="C258" s="40" t="s">
        <v>1142</v>
      </c>
      <c r="D258" s="104" t="s">
        <v>2623</v>
      </c>
      <c r="E258" s="45" t="s">
        <v>20</v>
      </c>
      <c r="F258" s="40" t="s">
        <v>716</v>
      </c>
      <c r="G258" s="114">
        <f>13990.7+53997.2+102461.49+12558.75</f>
        <v>183008.14</v>
      </c>
      <c r="H258" s="104" t="s">
        <v>2375</v>
      </c>
      <c r="I258" s="40" t="s">
        <v>2273</v>
      </c>
      <c r="J258" s="112">
        <v>0</v>
      </c>
    </row>
    <row r="259" spans="1:12" s="6" customFormat="1" ht="38.25" x14ac:dyDescent="0.2">
      <c r="A259" s="175">
        <v>253</v>
      </c>
      <c r="B259" s="153" t="s">
        <v>2376</v>
      </c>
      <c r="C259" s="40" t="s">
        <v>373</v>
      </c>
      <c r="D259" s="104" t="s">
        <v>2537</v>
      </c>
      <c r="E259" s="45" t="s">
        <v>20</v>
      </c>
      <c r="F259" s="40" t="s">
        <v>716</v>
      </c>
      <c r="G259" s="114">
        <f>13307.94+7093.75+1700+2250+1650</f>
        <v>26001.690000000002</v>
      </c>
      <c r="H259" s="104" t="s">
        <v>2377</v>
      </c>
      <c r="I259" s="40" t="s">
        <v>2273</v>
      </c>
      <c r="J259" s="112">
        <v>0</v>
      </c>
    </row>
    <row r="260" spans="1:12" s="6" customFormat="1" ht="38.25" x14ac:dyDescent="0.2">
      <c r="A260" s="175">
        <v>254</v>
      </c>
      <c r="B260" s="153" t="s">
        <v>2412</v>
      </c>
      <c r="C260" s="40" t="s">
        <v>1142</v>
      </c>
      <c r="D260" s="104" t="s">
        <v>2623</v>
      </c>
      <c r="E260" s="45" t="s">
        <v>20</v>
      </c>
      <c r="F260" s="40" t="s">
        <v>41</v>
      </c>
      <c r="G260" s="114">
        <v>43216.25</v>
      </c>
      <c r="H260" s="104" t="s">
        <v>2413</v>
      </c>
      <c r="I260" s="40" t="s">
        <v>2273</v>
      </c>
      <c r="J260" s="114">
        <v>0</v>
      </c>
    </row>
    <row r="261" spans="1:12" s="6" customFormat="1" ht="38.25" x14ac:dyDescent="0.2">
      <c r="A261" s="175">
        <v>255</v>
      </c>
      <c r="B261" s="153" t="s">
        <v>2448</v>
      </c>
      <c r="C261" s="40" t="s">
        <v>373</v>
      </c>
      <c r="D261" s="104" t="s">
        <v>2537</v>
      </c>
      <c r="E261" s="45" t="s">
        <v>20</v>
      </c>
      <c r="F261" s="40" t="s">
        <v>138</v>
      </c>
      <c r="G261" s="114">
        <v>29287.5</v>
      </c>
      <c r="H261" s="104" t="s">
        <v>2449</v>
      </c>
      <c r="I261" s="40" t="s">
        <v>2273</v>
      </c>
      <c r="J261" s="114">
        <v>0</v>
      </c>
    </row>
    <row r="262" spans="1:12" s="6" customFormat="1" ht="38.25" x14ac:dyDescent="0.2">
      <c r="A262" s="175">
        <v>256</v>
      </c>
      <c r="B262" s="153" t="s">
        <v>2450</v>
      </c>
      <c r="C262" s="40" t="s">
        <v>1142</v>
      </c>
      <c r="D262" s="104" t="s">
        <v>2623</v>
      </c>
      <c r="E262" s="45" t="s">
        <v>20</v>
      </c>
      <c r="F262" s="40" t="s">
        <v>699</v>
      </c>
      <c r="G262" s="114">
        <v>332345.96000000002</v>
      </c>
      <c r="H262" s="104" t="s">
        <v>2451</v>
      </c>
      <c r="I262" s="40" t="s">
        <v>2273</v>
      </c>
      <c r="J262" s="114">
        <v>0</v>
      </c>
    </row>
    <row r="263" spans="1:12" s="6" customFormat="1" ht="38.25" x14ac:dyDescent="0.2">
      <c r="A263" s="175">
        <v>257</v>
      </c>
      <c r="B263" s="153" t="s">
        <v>2452</v>
      </c>
      <c r="C263" s="40" t="s">
        <v>1142</v>
      </c>
      <c r="D263" s="104" t="s">
        <v>2623</v>
      </c>
      <c r="E263" s="45" t="s">
        <v>20</v>
      </c>
      <c r="F263" s="40" t="s">
        <v>2453</v>
      </c>
      <c r="G263" s="114">
        <f>37597.5+12700</f>
        <v>50297.5</v>
      </c>
      <c r="H263" s="104" t="s">
        <v>2454</v>
      </c>
      <c r="I263" s="40" t="s">
        <v>2273</v>
      </c>
      <c r="J263" s="114">
        <v>0</v>
      </c>
    </row>
    <row r="264" spans="1:12" s="6" customFormat="1" ht="38.25" x14ac:dyDescent="0.2">
      <c r="A264" s="175">
        <v>258</v>
      </c>
      <c r="B264" s="153" t="s">
        <v>2455</v>
      </c>
      <c r="C264" s="40" t="s">
        <v>373</v>
      </c>
      <c r="D264" s="104" t="s">
        <v>2537</v>
      </c>
      <c r="E264" s="45" t="s">
        <v>20</v>
      </c>
      <c r="F264" s="40" t="s">
        <v>2456</v>
      </c>
      <c r="G264" s="119">
        <v>47812.5</v>
      </c>
      <c r="H264" s="104" t="s">
        <v>2457</v>
      </c>
      <c r="I264" s="40" t="s">
        <v>2273</v>
      </c>
      <c r="J264" s="40"/>
      <c r="K264" s="203"/>
      <c r="L264" s="179"/>
    </row>
    <row r="265" spans="1:12" s="6" customFormat="1" ht="38.25" x14ac:dyDescent="0.2">
      <c r="A265" s="175">
        <v>259</v>
      </c>
      <c r="B265" s="153" t="s">
        <v>2469</v>
      </c>
      <c r="C265" s="40" t="s">
        <v>373</v>
      </c>
      <c r="D265" s="104" t="s">
        <v>2537</v>
      </c>
      <c r="E265" s="45" t="s">
        <v>20</v>
      </c>
      <c r="F265" s="40" t="s">
        <v>417</v>
      </c>
      <c r="G265" s="114">
        <v>4993.75</v>
      </c>
      <c r="H265" s="104" t="s">
        <v>2470</v>
      </c>
      <c r="I265" s="40" t="s">
        <v>2273</v>
      </c>
      <c r="J265" s="112">
        <v>0</v>
      </c>
    </row>
    <row r="266" spans="1:12" s="6" customFormat="1" ht="38.25" x14ac:dyDescent="0.2">
      <c r="A266" s="175">
        <v>260</v>
      </c>
      <c r="B266" s="153" t="s">
        <v>2471</v>
      </c>
      <c r="C266" s="40" t="s">
        <v>2472</v>
      </c>
      <c r="D266" s="104" t="s">
        <v>2622</v>
      </c>
      <c r="E266" s="45" t="s">
        <v>20</v>
      </c>
      <c r="F266" s="40" t="s">
        <v>2473</v>
      </c>
      <c r="G266" s="114">
        <f>615388.03*1.25</f>
        <v>769235.03750000009</v>
      </c>
      <c r="H266" s="104" t="s">
        <v>2474</v>
      </c>
      <c r="I266" s="40" t="s">
        <v>2499</v>
      </c>
      <c r="J266" s="114">
        <v>615236.43999999994</v>
      </c>
    </row>
    <row r="267" spans="1:12" s="6" customFormat="1" ht="38.25" x14ac:dyDescent="0.2">
      <c r="A267" s="175">
        <v>261</v>
      </c>
      <c r="B267" s="153" t="s">
        <v>2475</v>
      </c>
      <c r="C267" s="40" t="s">
        <v>2476</v>
      </c>
      <c r="D267" s="104" t="s">
        <v>2621</v>
      </c>
      <c r="E267" s="45" t="s">
        <v>20</v>
      </c>
      <c r="F267" s="40" t="s">
        <v>2473</v>
      </c>
      <c r="G267" s="114">
        <f>1434529.62*1.25</f>
        <v>1793162.0250000001</v>
      </c>
      <c r="H267" s="104" t="s">
        <v>2477</v>
      </c>
      <c r="I267" s="40" t="s">
        <v>2499</v>
      </c>
      <c r="J267" s="114">
        <v>1434382.92</v>
      </c>
    </row>
    <row r="268" spans="1:12" s="6" customFormat="1" ht="38.25" x14ac:dyDescent="0.2">
      <c r="A268" s="175">
        <v>262</v>
      </c>
      <c r="B268" s="188" t="s">
        <v>2496</v>
      </c>
      <c r="C268" s="40" t="s">
        <v>2497</v>
      </c>
      <c r="D268" s="104" t="s">
        <v>2620</v>
      </c>
      <c r="E268" s="45" t="s">
        <v>20</v>
      </c>
      <c r="F268" s="128" t="s">
        <v>806</v>
      </c>
      <c r="G268" s="129">
        <v>924900</v>
      </c>
      <c r="H268" s="104" t="s">
        <v>2498</v>
      </c>
      <c r="I268" s="40" t="s">
        <v>2500</v>
      </c>
      <c r="J268" s="112">
        <v>0</v>
      </c>
    </row>
    <row r="269" spans="1:12" s="6" customFormat="1" ht="38.25" x14ac:dyDescent="0.2">
      <c r="A269" s="175">
        <v>263</v>
      </c>
      <c r="B269" s="153" t="s">
        <v>2501</v>
      </c>
      <c r="C269" s="40" t="s">
        <v>2502</v>
      </c>
      <c r="D269" s="104" t="s">
        <v>2619</v>
      </c>
      <c r="E269" s="45" t="s">
        <v>20</v>
      </c>
      <c r="F269" s="40" t="s">
        <v>839</v>
      </c>
      <c r="G269" s="114">
        <v>562500</v>
      </c>
      <c r="H269" s="104" t="s">
        <v>2503</v>
      </c>
      <c r="I269" s="40" t="s">
        <v>2500</v>
      </c>
      <c r="J269" s="112">
        <v>0</v>
      </c>
    </row>
    <row r="270" spans="1:12" s="6" customFormat="1" ht="38.25" x14ac:dyDescent="0.2">
      <c r="A270" s="175">
        <v>264</v>
      </c>
      <c r="B270" s="153" t="s">
        <v>2530</v>
      </c>
      <c r="C270" s="40" t="s">
        <v>2531</v>
      </c>
      <c r="D270" s="104" t="s">
        <v>2618</v>
      </c>
      <c r="E270" s="45" t="s">
        <v>20</v>
      </c>
      <c r="F270" s="40" t="s">
        <v>2532</v>
      </c>
      <c r="G270" s="114">
        <f>79000*1.25</f>
        <v>98750</v>
      </c>
      <c r="H270" s="104" t="s">
        <v>2533</v>
      </c>
      <c r="I270" s="40" t="s">
        <v>2534</v>
      </c>
      <c r="J270" s="114">
        <v>0</v>
      </c>
    </row>
    <row r="271" spans="1:12" s="6" customFormat="1" ht="38.25" x14ac:dyDescent="0.2">
      <c r="A271" s="175">
        <v>265</v>
      </c>
      <c r="B271" s="153" t="s">
        <v>2535</v>
      </c>
      <c r="C271" s="40" t="s">
        <v>373</v>
      </c>
      <c r="D271" s="104" t="s">
        <v>2537</v>
      </c>
      <c r="E271" s="45" t="s">
        <v>20</v>
      </c>
      <c r="F271" s="40" t="s">
        <v>347</v>
      </c>
      <c r="G271" s="114">
        <v>19952.5</v>
      </c>
      <c r="H271" s="104" t="s">
        <v>2536</v>
      </c>
      <c r="I271" s="40" t="s">
        <v>2273</v>
      </c>
      <c r="J271" s="112">
        <v>0</v>
      </c>
    </row>
    <row r="272" spans="1:12" s="6" customFormat="1" ht="38.25" x14ac:dyDescent="0.2">
      <c r="A272" s="175">
        <v>266</v>
      </c>
      <c r="B272" s="152" t="s">
        <v>2587</v>
      </c>
      <c r="C272" s="40" t="s">
        <v>2588</v>
      </c>
      <c r="D272" s="104" t="s">
        <v>2589</v>
      </c>
      <c r="E272" s="45" t="s">
        <v>20</v>
      </c>
      <c r="F272" s="40" t="s">
        <v>839</v>
      </c>
      <c r="G272" s="114">
        <v>1177500</v>
      </c>
      <c r="H272" s="104" t="s">
        <v>2594</v>
      </c>
      <c r="I272" s="40" t="s">
        <v>2590</v>
      </c>
      <c r="J272" s="112">
        <v>0</v>
      </c>
    </row>
    <row r="273" spans="1:11" s="6" customFormat="1" ht="38.25" x14ac:dyDescent="0.2">
      <c r="A273" s="175">
        <v>267</v>
      </c>
      <c r="B273" s="153" t="s">
        <v>2591</v>
      </c>
      <c r="C273" s="40" t="s">
        <v>2592</v>
      </c>
      <c r="D273" s="104" t="s">
        <v>2593</v>
      </c>
      <c r="E273" s="45" t="s">
        <v>20</v>
      </c>
      <c r="F273" s="40" t="s">
        <v>839</v>
      </c>
      <c r="G273" s="114">
        <v>651310</v>
      </c>
      <c r="H273" s="104" t="s">
        <v>2596</v>
      </c>
      <c r="I273" s="40" t="s">
        <v>2595</v>
      </c>
      <c r="J273" s="112">
        <v>0</v>
      </c>
      <c r="K273" s="194"/>
    </row>
    <row r="274" spans="1:11" s="6" customFormat="1" ht="38.25" x14ac:dyDescent="0.2">
      <c r="A274" s="175">
        <v>268</v>
      </c>
      <c r="B274" s="153" t="s">
        <v>2638</v>
      </c>
      <c r="C274" s="40" t="s">
        <v>941</v>
      </c>
      <c r="D274" s="104" t="s">
        <v>2639</v>
      </c>
      <c r="E274" s="45" t="s">
        <v>20</v>
      </c>
      <c r="F274" s="40" t="s">
        <v>2640</v>
      </c>
      <c r="G274" s="114">
        <f>369350+30137.5+103556.75</f>
        <v>503044.25</v>
      </c>
      <c r="H274" s="104" t="s">
        <v>2641</v>
      </c>
      <c r="I274" s="40" t="s">
        <v>2642</v>
      </c>
      <c r="J274" s="114">
        <v>16000</v>
      </c>
      <c r="K274" s="194"/>
    </row>
    <row r="275" spans="1:11" s="6" customFormat="1" ht="38.25" x14ac:dyDescent="0.2">
      <c r="A275" s="175">
        <v>269</v>
      </c>
      <c r="B275" s="153" t="s">
        <v>2645</v>
      </c>
      <c r="C275" s="40" t="s">
        <v>178</v>
      </c>
      <c r="D275" s="104" t="s">
        <v>2646</v>
      </c>
      <c r="E275" s="45" t="s">
        <v>20</v>
      </c>
      <c r="F275" s="40" t="s">
        <v>25</v>
      </c>
      <c r="G275" s="114">
        <v>355533.15</v>
      </c>
      <c r="H275" s="104" t="s">
        <v>2647</v>
      </c>
      <c r="I275" s="40" t="s">
        <v>2648</v>
      </c>
      <c r="J275" s="114">
        <v>0</v>
      </c>
      <c r="K275" s="194"/>
    </row>
    <row r="276" spans="1:11" s="6" customFormat="1" ht="38.25" x14ac:dyDescent="0.2">
      <c r="A276" s="175">
        <v>270</v>
      </c>
      <c r="B276" s="153" t="s">
        <v>2652</v>
      </c>
      <c r="C276" s="40" t="s">
        <v>2649</v>
      </c>
      <c r="D276" s="104" t="s">
        <v>2650</v>
      </c>
      <c r="E276" s="45" t="s">
        <v>20</v>
      </c>
      <c r="F276" s="40" t="s">
        <v>21</v>
      </c>
      <c r="G276" s="114">
        <v>762450</v>
      </c>
      <c r="H276" s="104" t="s">
        <v>2679</v>
      </c>
      <c r="I276" s="40" t="s">
        <v>2651</v>
      </c>
      <c r="J276" s="114">
        <v>0</v>
      </c>
      <c r="K276" s="194"/>
    </row>
    <row r="277" spans="1:11" s="6" customFormat="1" ht="38.25" x14ac:dyDescent="0.2">
      <c r="A277" s="175">
        <v>271</v>
      </c>
      <c r="B277" s="153" t="s">
        <v>2675</v>
      </c>
      <c r="C277" s="40" t="s">
        <v>2676</v>
      </c>
      <c r="D277" s="104" t="s">
        <v>2677</v>
      </c>
      <c r="E277" s="45" t="s">
        <v>20</v>
      </c>
      <c r="F277" s="40" t="s">
        <v>49</v>
      </c>
      <c r="G277" s="114">
        <v>235093.29</v>
      </c>
      <c r="H277" s="104" t="s">
        <v>2678</v>
      </c>
      <c r="I277" s="115">
        <v>43046</v>
      </c>
      <c r="J277" s="114">
        <v>0</v>
      </c>
    </row>
    <row r="278" spans="1:11" s="6" customFormat="1" ht="38.25" x14ac:dyDescent="0.2">
      <c r="A278" s="175">
        <v>272</v>
      </c>
      <c r="B278" s="153" t="s">
        <v>2680</v>
      </c>
      <c r="C278" s="40" t="s">
        <v>2676</v>
      </c>
      <c r="D278" s="104" t="s">
        <v>2677</v>
      </c>
      <c r="E278" s="45" t="s">
        <v>20</v>
      </c>
      <c r="F278" s="40" t="s">
        <v>1155</v>
      </c>
      <c r="G278" s="114">
        <v>38242.5</v>
      </c>
      <c r="H278" s="104" t="s">
        <v>2681</v>
      </c>
      <c r="I278" s="115">
        <v>43046</v>
      </c>
      <c r="J278" s="112">
        <v>0</v>
      </c>
    </row>
    <row r="279" spans="1:11" s="6" customFormat="1" ht="38.25" x14ac:dyDescent="0.2">
      <c r="A279" s="175">
        <v>273</v>
      </c>
      <c r="B279" s="152" t="s">
        <v>2684</v>
      </c>
      <c r="C279" s="40" t="s">
        <v>2685</v>
      </c>
      <c r="D279" s="104" t="s">
        <v>2686</v>
      </c>
      <c r="E279" s="45" t="s">
        <v>20</v>
      </c>
      <c r="F279" s="40" t="s">
        <v>375</v>
      </c>
      <c r="G279" s="114">
        <v>343750</v>
      </c>
      <c r="H279" s="104" t="s">
        <v>2687</v>
      </c>
      <c r="I279" s="115">
        <v>43092</v>
      </c>
      <c r="J279" s="112">
        <v>0</v>
      </c>
    </row>
    <row r="280" spans="1:11" s="6" customFormat="1" ht="38.25" x14ac:dyDescent="0.2">
      <c r="A280" s="175">
        <v>274</v>
      </c>
      <c r="B280" s="152" t="s">
        <v>2688</v>
      </c>
      <c r="C280" s="40" t="s">
        <v>1248</v>
      </c>
      <c r="D280" s="104" t="s">
        <v>2689</v>
      </c>
      <c r="E280" s="45" t="s">
        <v>20</v>
      </c>
      <c r="F280" s="40" t="s">
        <v>49</v>
      </c>
      <c r="G280" s="114">
        <f>637451.25+1868730.09+46374.88+381227.03</f>
        <v>2933783.25</v>
      </c>
      <c r="H280" s="104" t="s">
        <v>2690</v>
      </c>
      <c r="I280" s="40" t="s">
        <v>2691</v>
      </c>
      <c r="J280" s="114">
        <v>0</v>
      </c>
    </row>
    <row r="281" spans="1:11" s="6" customFormat="1" ht="38.25" x14ac:dyDescent="0.2">
      <c r="A281" s="175">
        <v>275</v>
      </c>
      <c r="B281" s="153" t="s">
        <v>2696</v>
      </c>
      <c r="C281" s="40" t="s">
        <v>2697</v>
      </c>
      <c r="D281" s="104" t="s">
        <v>2698</v>
      </c>
      <c r="E281" s="45" t="s">
        <v>20</v>
      </c>
      <c r="F281" s="40" t="s">
        <v>526</v>
      </c>
      <c r="G281" s="119">
        <v>219123.75</v>
      </c>
      <c r="H281" s="104" t="s">
        <v>2699</v>
      </c>
      <c r="I281" s="40" t="s">
        <v>2700</v>
      </c>
      <c r="J281" s="114">
        <v>219123.75</v>
      </c>
      <c r="K281" s="199"/>
    </row>
    <row r="282" spans="1:11" s="6" customFormat="1" ht="38.25" x14ac:dyDescent="0.2">
      <c r="A282" s="175">
        <v>276</v>
      </c>
      <c r="B282" s="153" t="s">
        <v>2706</v>
      </c>
      <c r="C282" s="40" t="s">
        <v>2676</v>
      </c>
      <c r="D282" s="104" t="s">
        <v>2677</v>
      </c>
      <c r="E282" s="45" t="s">
        <v>20</v>
      </c>
      <c r="F282" s="40" t="s">
        <v>317</v>
      </c>
      <c r="G282" s="114">
        <v>468727.38</v>
      </c>
      <c r="H282" s="104" t="s">
        <v>2707</v>
      </c>
      <c r="I282" s="40" t="s">
        <v>2708</v>
      </c>
      <c r="J282" s="112">
        <v>1040</v>
      </c>
    </row>
    <row r="283" spans="1:11" s="6" customFormat="1" ht="38.25" x14ac:dyDescent="0.2">
      <c r="A283" s="175">
        <v>277</v>
      </c>
      <c r="B283" s="153" t="s">
        <v>2709</v>
      </c>
      <c r="C283" s="40" t="s">
        <v>2676</v>
      </c>
      <c r="D283" s="104" t="s">
        <v>2677</v>
      </c>
      <c r="E283" s="45" t="s">
        <v>20</v>
      </c>
      <c r="F283" s="40" t="s">
        <v>249</v>
      </c>
      <c r="G283" s="114">
        <v>3125</v>
      </c>
      <c r="H283" s="104" t="s">
        <v>2710</v>
      </c>
      <c r="I283" s="40" t="s">
        <v>2708</v>
      </c>
      <c r="J283" s="112">
        <v>0</v>
      </c>
    </row>
    <row r="284" spans="1:11" s="6" customFormat="1" ht="38.25" x14ac:dyDescent="0.2">
      <c r="A284" s="175">
        <v>278</v>
      </c>
      <c r="B284" s="153" t="s">
        <v>2711</v>
      </c>
      <c r="C284" s="40" t="s">
        <v>178</v>
      </c>
      <c r="D284" s="104" t="s">
        <v>2646</v>
      </c>
      <c r="E284" s="45" t="s">
        <v>20</v>
      </c>
      <c r="F284" s="40" t="s">
        <v>249</v>
      </c>
      <c r="G284" s="114">
        <v>32680</v>
      </c>
      <c r="H284" s="104" t="s">
        <v>2712</v>
      </c>
      <c r="I284" s="40" t="s">
        <v>2648</v>
      </c>
      <c r="J284" s="112">
        <v>0</v>
      </c>
    </row>
    <row r="285" spans="1:11" s="6" customFormat="1" ht="38.25" x14ac:dyDescent="0.2">
      <c r="A285" s="175">
        <v>279</v>
      </c>
      <c r="B285" s="152" t="s">
        <v>2713</v>
      </c>
      <c r="C285" s="40" t="s">
        <v>315</v>
      </c>
      <c r="D285" s="104" t="s">
        <v>2714</v>
      </c>
      <c r="E285" s="45" t="s">
        <v>20</v>
      </c>
      <c r="F285" s="40" t="s">
        <v>317</v>
      </c>
      <c r="G285" s="114">
        <f>125790+149940</f>
        <v>275730</v>
      </c>
      <c r="H285" s="104" t="s">
        <v>2715</v>
      </c>
      <c r="I285" s="40" t="s">
        <v>2716</v>
      </c>
      <c r="J285" s="112">
        <v>0</v>
      </c>
    </row>
    <row r="286" spans="1:11" s="6" customFormat="1" ht="38.25" x14ac:dyDescent="0.2">
      <c r="A286" s="175">
        <v>280</v>
      </c>
      <c r="B286" s="153" t="s">
        <v>2725</v>
      </c>
      <c r="C286" s="40" t="s">
        <v>178</v>
      </c>
      <c r="D286" s="104" t="s">
        <v>2646</v>
      </c>
      <c r="E286" s="45" t="s">
        <v>20</v>
      </c>
      <c r="F286" s="40" t="s">
        <v>227</v>
      </c>
      <c r="G286" s="114">
        <v>463957.2</v>
      </c>
      <c r="H286" s="104" t="s">
        <v>2726</v>
      </c>
      <c r="I286" s="40" t="s">
        <v>2648</v>
      </c>
      <c r="J286" s="112">
        <v>0</v>
      </c>
    </row>
    <row r="287" spans="1:11" s="6" customFormat="1" ht="38.25" x14ac:dyDescent="0.2">
      <c r="A287" s="175">
        <v>281</v>
      </c>
      <c r="B287" s="152" t="s">
        <v>2727</v>
      </c>
      <c r="C287" s="40" t="s">
        <v>315</v>
      </c>
      <c r="D287" s="104" t="s">
        <v>2714</v>
      </c>
      <c r="E287" s="45" t="s">
        <v>20</v>
      </c>
      <c r="F287" s="40" t="s">
        <v>227</v>
      </c>
      <c r="G287" s="114">
        <f>382179+22995</f>
        <v>405174</v>
      </c>
      <c r="H287" s="104" t="s">
        <v>2728</v>
      </c>
      <c r="I287" s="40" t="s">
        <v>2716</v>
      </c>
      <c r="J287" s="112">
        <v>0</v>
      </c>
    </row>
    <row r="288" spans="1:11" s="6" customFormat="1" ht="38.25" x14ac:dyDescent="0.2">
      <c r="A288" s="175">
        <v>282</v>
      </c>
      <c r="B288" s="153" t="s">
        <v>2729</v>
      </c>
      <c r="C288" s="40" t="s">
        <v>2676</v>
      </c>
      <c r="D288" s="104" t="s">
        <v>2677</v>
      </c>
      <c r="E288" s="45" t="s">
        <v>20</v>
      </c>
      <c r="F288" s="40" t="s">
        <v>227</v>
      </c>
      <c r="G288" s="114">
        <v>8920.7999999999993</v>
      </c>
      <c r="H288" s="104" t="s">
        <v>2730</v>
      </c>
      <c r="I288" s="40" t="s">
        <v>2708</v>
      </c>
      <c r="J288" s="112">
        <v>0</v>
      </c>
    </row>
    <row r="289" spans="1:10" s="6" customFormat="1" ht="38.25" x14ac:dyDescent="0.2">
      <c r="A289" s="175">
        <v>283</v>
      </c>
      <c r="B289" s="153" t="s">
        <v>2731</v>
      </c>
      <c r="C289" s="40" t="s">
        <v>769</v>
      </c>
      <c r="D289" s="104" t="s">
        <v>2732</v>
      </c>
      <c r="E289" s="45" t="s">
        <v>20</v>
      </c>
      <c r="F289" s="40" t="s">
        <v>88</v>
      </c>
      <c r="G289" s="114">
        <f>462.5+300+113.4</f>
        <v>875.9</v>
      </c>
      <c r="H289" s="104" t="s">
        <v>2733</v>
      </c>
      <c r="I289" s="40" t="s">
        <v>2734</v>
      </c>
      <c r="J289" s="112">
        <v>0</v>
      </c>
    </row>
    <row r="290" spans="1:10" s="6" customFormat="1" ht="38.25" x14ac:dyDescent="0.2">
      <c r="A290" s="175">
        <v>284</v>
      </c>
      <c r="B290" s="152" t="s">
        <v>2740</v>
      </c>
      <c r="C290" s="40" t="s">
        <v>1248</v>
      </c>
      <c r="D290" s="104" t="s">
        <v>2689</v>
      </c>
      <c r="E290" s="45" t="s">
        <v>20</v>
      </c>
      <c r="F290" s="40" t="s">
        <v>452</v>
      </c>
      <c r="G290" s="114">
        <v>192121.74</v>
      </c>
      <c r="H290" s="104" t="s">
        <v>2741</v>
      </c>
      <c r="I290" s="40" t="s">
        <v>2691</v>
      </c>
      <c r="J290" s="112">
        <v>0</v>
      </c>
    </row>
    <row r="291" spans="1:10" s="6" customFormat="1" ht="38.25" x14ac:dyDescent="0.2">
      <c r="A291" s="175">
        <v>285</v>
      </c>
      <c r="B291" s="153" t="s">
        <v>2746</v>
      </c>
      <c r="C291" s="40" t="s">
        <v>1142</v>
      </c>
      <c r="D291" s="104" t="s">
        <v>2623</v>
      </c>
      <c r="E291" s="45" t="s">
        <v>20</v>
      </c>
      <c r="F291" s="40" t="s">
        <v>331</v>
      </c>
      <c r="G291" s="114">
        <v>58250</v>
      </c>
      <c r="H291" s="104" t="s">
        <v>2747</v>
      </c>
      <c r="I291" s="40" t="s">
        <v>2273</v>
      </c>
      <c r="J291" s="114">
        <v>0</v>
      </c>
    </row>
    <row r="292" spans="1:10" s="6" customFormat="1" ht="38.25" x14ac:dyDescent="0.2">
      <c r="A292" s="175">
        <v>286</v>
      </c>
      <c r="B292" s="153" t="s">
        <v>2748</v>
      </c>
      <c r="C292" s="40" t="s">
        <v>178</v>
      </c>
      <c r="D292" s="104" t="s">
        <v>2646</v>
      </c>
      <c r="E292" s="45" t="s">
        <v>20</v>
      </c>
      <c r="F292" s="40" t="s">
        <v>947</v>
      </c>
      <c r="G292" s="114">
        <f>124550+12812.5+50000+130500</f>
        <v>317862.5</v>
      </c>
      <c r="H292" s="104" t="s">
        <v>2749</v>
      </c>
      <c r="I292" s="40" t="s">
        <v>2691</v>
      </c>
      <c r="J292" s="114">
        <v>0</v>
      </c>
    </row>
    <row r="293" spans="1:10" s="6" customFormat="1" ht="38.25" x14ac:dyDescent="0.2">
      <c r="A293" s="175">
        <v>287</v>
      </c>
      <c r="B293" s="153" t="s">
        <v>2750</v>
      </c>
      <c r="C293" s="40" t="s">
        <v>178</v>
      </c>
      <c r="D293" s="104" t="s">
        <v>2646</v>
      </c>
      <c r="E293" s="45" t="s">
        <v>20</v>
      </c>
      <c r="F293" s="40" t="s">
        <v>1869</v>
      </c>
      <c r="G293" s="114">
        <f>183000+82000+25250</f>
        <v>290250</v>
      </c>
      <c r="H293" s="104" t="s">
        <v>2751</v>
      </c>
      <c r="I293" s="40" t="s">
        <v>2648</v>
      </c>
      <c r="J293" s="114">
        <v>0</v>
      </c>
    </row>
    <row r="294" spans="1:10" s="6" customFormat="1" ht="38.25" x14ac:dyDescent="0.2">
      <c r="A294" s="175">
        <v>288</v>
      </c>
      <c r="B294" s="153" t="s">
        <v>2752</v>
      </c>
      <c r="C294" s="40" t="s">
        <v>769</v>
      </c>
      <c r="D294" s="104" t="s">
        <v>2732</v>
      </c>
      <c r="E294" s="45" t="s">
        <v>20</v>
      </c>
      <c r="F294" s="40" t="s">
        <v>400</v>
      </c>
      <c r="G294" s="114">
        <f>18330.5+8737.5+13606.25</f>
        <v>40674.25</v>
      </c>
      <c r="H294" s="104" t="s">
        <v>2754</v>
      </c>
      <c r="I294" s="40" t="s">
        <v>2734</v>
      </c>
      <c r="J294" s="114">
        <v>0</v>
      </c>
    </row>
    <row r="295" spans="1:10" s="6" customFormat="1" ht="38.25" x14ac:dyDescent="0.2">
      <c r="A295" s="175">
        <v>289</v>
      </c>
      <c r="B295" s="153" t="s">
        <v>2753</v>
      </c>
      <c r="C295" s="40" t="s">
        <v>769</v>
      </c>
      <c r="D295" s="104" t="s">
        <v>2732</v>
      </c>
      <c r="E295" s="45" t="s">
        <v>20</v>
      </c>
      <c r="F295" s="40" t="s">
        <v>96</v>
      </c>
      <c r="G295" s="114">
        <f>113869.13+1500+26868+43811.2+19637.5+560.38+8750</f>
        <v>214996.21000000002</v>
      </c>
      <c r="H295" s="104" t="s">
        <v>2755</v>
      </c>
      <c r="I295" s="40" t="s">
        <v>2734</v>
      </c>
      <c r="J295" s="112">
        <v>0</v>
      </c>
    </row>
    <row r="296" spans="1:10" s="6" customFormat="1" ht="38.25" x14ac:dyDescent="0.2">
      <c r="A296" s="175">
        <v>290</v>
      </c>
      <c r="B296" s="153" t="s">
        <v>2764</v>
      </c>
      <c r="C296" s="40" t="s">
        <v>2676</v>
      </c>
      <c r="D296" s="104" t="s">
        <v>2677</v>
      </c>
      <c r="E296" s="45" t="s">
        <v>20</v>
      </c>
      <c r="F296" s="40" t="s">
        <v>78</v>
      </c>
      <c r="G296" s="114">
        <v>563497.75</v>
      </c>
      <c r="H296" s="104" t="s">
        <v>2765</v>
      </c>
      <c r="I296" s="40" t="s">
        <v>2708</v>
      </c>
      <c r="J296" s="112">
        <v>0</v>
      </c>
    </row>
    <row r="297" spans="1:10" s="6" customFormat="1" ht="38.25" x14ac:dyDescent="0.2">
      <c r="A297" s="175">
        <v>291</v>
      </c>
      <c r="B297" s="153" t="s">
        <v>2766</v>
      </c>
      <c r="C297" s="40" t="s">
        <v>178</v>
      </c>
      <c r="D297" s="104" t="s">
        <v>2646</v>
      </c>
      <c r="E297" s="45" t="s">
        <v>20</v>
      </c>
      <c r="F297" s="40" t="s">
        <v>78</v>
      </c>
      <c r="G297" s="114">
        <v>140381.25</v>
      </c>
      <c r="H297" s="104" t="s">
        <v>2767</v>
      </c>
      <c r="I297" s="40" t="s">
        <v>2648</v>
      </c>
      <c r="J297" s="112">
        <v>0</v>
      </c>
    </row>
    <row r="298" spans="1:10" s="6" customFormat="1" ht="38.25" x14ac:dyDescent="0.2">
      <c r="A298" s="175">
        <v>292</v>
      </c>
      <c r="B298" s="153" t="s">
        <v>2776</v>
      </c>
      <c r="C298" s="40" t="s">
        <v>2779</v>
      </c>
      <c r="D298" s="104" t="s">
        <v>4216</v>
      </c>
      <c r="E298" s="45" t="s">
        <v>4207</v>
      </c>
      <c r="F298" s="40" t="s">
        <v>2777</v>
      </c>
      <c r="G298" s="195">
        <v>185000</v>
      </c>
      <c r="H298" s="104" t="s">
        <v>2778</v>
      </c>
      <c r="I298" s="40" t="s">
        <v>2708</v>
      </c>
      <c r="J298" s="114">
        <v>0</v>
      </c>
    </row>
    <row r="299" spans="1:10" s="6" customFormat="1" ht="38.25" x14ac:dyDescent="0.2">
      <c r="A299" s="175">
        <v>293</v>
      </c>
      <c r="B299" s="153" t="s">
        <v>2782</v>
      </c>
      <c r="C299" s="40" t="s">
        <v>2783</v>
      </c>
      <c r="D299" s="104" t="s">
        <v>2784</v>
      </c>
      <c r="E299" s="45" t="s">
        <v>20</v>
      </c>
      <c r="F299" s="40" t="s">
        <v>2785</v>
      </c>
      <c r="G299" s="114">
        <v>298375</v>
      </c>
      <c r="H299" s="104" t="s">
        <v>2786</v>
      </c>
      <c r="I299" s="40" t="s">
        <v>2787</v>
      </c>
      <c r="J299" s="114">
        <v>0</v>
      </c>
    </row>
    <row r="300" spans="1:10" s="6" customFormat="1" ht="38.25" x14ac:dyDescent="0.2">
      <c r="A300" s="175">
        <v>294</v>
      </c>
      <c r="B300" s="152" t="s">
        <v>2801</v>
      </c>
      <c r="C300" s="40" t="s">
        <v>2802</v>
      </c>
      <c r="D300" s="104" t="s">
        <v>2803</v>
      </c>
      <c r="E300" s="45" t="s">
        <v>20</v>
      </c>
      <c r="F300" s="40" t="s">
        <v>385</v>
      </c>
      <c r="G300" s="114">
        <v>366250</v>
      </c>
      <c r="H300" s="104" t="s">
        <v>2804</v>
      </c>
      <c r="I300" s="40" t="s">
        <v>2805</v>
      </c>
      <c r="J300" s="112">
        <v>0</v>
      </c>
    </row>
    <row r="301" spans="1:10" s="6" customFormat="1" ht="38.25" x14ac:dyDescent="0.2">
      <c r="A301" s="175">
        <v>295</v>
      </c>
      <c r="B301" s="153" t="s">
        <v>2924</v>
      </c>
      <c r="C301" s="40" t="s">
        <v>2925</v>
      </c>
      <c r="D301" s="104" t="s">
        <v>2926</v>
      </c>
      <c r="E301" s="45" t="s">
        <v>20</v>
      </c>
      <c r="F301" s="40" t="s">
        <v>96</v>
      </c>
      <c r="G301" s="114">
        <v>403913.83</v>
      </c>
      <c r="H301" s="104" t="s">
        <v>2927</v>
      </c>
      <c r="I301" s="40" t="s">
        <v>2928</v>
      </c>
      <c r="J301" s="112">
        <v>0</v>
      </c>
    </row>
    <row r="302" spans="1:10" s="6" customFormat="1" ht="38.25" x14ac:dyDescent="0.2">
      <c r="A302" s="175">
        <v>296</v>
      </c>
      <c r="B302" s="153" t="s">
        <v>2987</v>
      </c>
      <c r="C302" s="40" t="s">
        <v>2676</v>
      </c>
      <c r="D302" s="104" t="s">
        <v>2677</v>
      </c>
      <c r="E302" s="45" t="s">
        <v>20</v>
      </c>
      <c r="F302" s="40" t="s">
        <v>138</v>
      </c>
      <c r="G302" s="114">
        <v>111150</v>
      </c>
      <c r="H302" s="104" t="s">
        <v>2988</v>
      </c>
      <c r="I302" s="40" t="s">
        <v>2708</v>
      </c>
      <c r="J302" s="112">
        <v>0</v>
      </c>
    </row>
    <row r="303" spans="1:10" s="6" customFormat="1" ht="38.25" x14ac:dyDescent="0.2">
      <c r="A303" s="175">
        <v>297</v>
      </c>
      <c r="B303" s="153" t="s">
        <v>2989</v>
      </c>
      <c r="C303" s="40" t="s">
        <v>2990</v>
      </c>
      <c r="D303" s="104" t="s">
        <v>2991</v>
      </c>
      <c r="E303" s="45" t="s">
        <v>20</v>
      </c>
      <c r="F303" s="40" t="s">
        <v>249</v>
      </c>
      <c r="G303" s="114">
        <v>1999350.48</v>
      </c>
      <c r="H303" s="104" t="s">
        <v>2992</v>
      </c>
      <c r="I303" s="40" t="s">
        <v>2993</v>
      </c>
      <c r="J303" s="112">
        <v>0</v>
      </c>
    </row>
    <row r="304" spans="1:10" s="6" customFormat="1" ht="38.25" x14ac:dyDescent="0.2">
      <c r="A304" s="175">
        <v>298</v>
      </c>
      <c r="B304" s="153" t="s">
        <v>3015</v>
      </c>
      <c r="C304" s="40" t="s">
        <v>3016</v>
      </c>
      <c r="D304" s="104" t="s">
        <v>3017</v>
      </c>
      <c r="E304" s="45" t="s">
        <v>20</v>
      </c>
      <c r="F304" s="40" t="s">
        <v>1232</v>
      </c>
      <c r="G304" s="114">
        <v>329662.95</v>
      </c>
      <c r="H304" s="104" t="s">
        <v>3018</v>
      </c>
      <c r="I304" s="40" t="s">
        <v>2800</v>
      </c>
      <c r="J304" s="114">
        <v>0</v>
      </c>
    </row>
    <row r="305" spans="1:10" s="6" customFormat="1" ht="38.25" x14ac:dyDescent="0.2">
      <c r="A305" s="175">
        <v>299</v>
      </c>
      <c r="B305" s="152" t="s">
        <v>3022</v>
      </c>
      <c r="C305" s="40" t="s">
        <v>748</v>
      </c>
      <c r="D305" s="104" t="s">
        <v>3023</v>
      </c>
      <c r="E305" s="45" t="s">
        <v>20</v>
      </c>
      <c r="F305" s="40" t="s">
        <v>375</v>
      </c>
      <c r="G305" s="114">
        <v>3510</v>
      </c>
      <c r="H305" s="104" t="s">
        <v>3024</v>
      </c>
      <c r="I305" s="40" t="s">
        <v>2734</v>
      </c>
      <c r="J305" s="112">
        <v>0</v>
      </c>
    </row>
    <row r="306" spans="1:10" s="6" customFormat="1" ht="38.25" x14ac:dyDescent="0.2">
      <c r="A306" s="175">
        <v>300</v>
      </c>
      <c r="B306" s="152" t="s">
        <v>3025</v>
      </c>
      <c r="C306" s="40" t="s">
        <v>748</v>
      </c>
      <c r="D306" s="104" t="s">
        <v>3023</v>
      </c>
      <c r="E306" s="45" t="s">
        <v>20</v>
      </c>
      <c r="F306" s="40" t="s">
        <v>716</v>
      </c>
      <c r="G306" s="114">
        <v>49543.199999999997</v>
      </c>
      <c r="H306" s="104" t="s">
        <v>3026</v>
      </c>
      <c r="I306" s="40" t="s">
        <v>2734</v>
      </c>
      <c r="J306" s="112">
        <v>0</v>
      </c>
    </row>
    <row r="307" spans="1:10" s="6" customFormat="1" ht="38.25" x14ac:dyDescent="0.2">
      <c r="A307" s="175">
        <v>301</v>
      </c>
      <c r="B307" s="152" t="s">
        <v>3027</v>
      </c>
      <c r="C307" s="40" t="s">
        <v>3028</v>
      </c>
      <c r="D307" s="104" t="s">
        <v>3029</v>
      </c>
      <c r="E307" s="45" t="s">
        <v>20</v>
      </c>
      <c r="F307" s="40" t="s">
        <v>400</v>
      </c>
      <c r="G307" s="114">
        <v>297500</v>
      </c>
      <c r="H307" s="104" t="s">
        <v>3030</v>
      </c>
      <c r="I307" s="40" t="s">
        <v>3031</v>
      </c>
      <c r="J307" s="114">
        <v>0</v>
      </c>
    </row>
    <row r="308" spans="1:10" s="6" customFormat="1" ht="38.25" x14ac:dyDescent="0.2">
      <c r="A308" s="175">
        <v>302</v>
      </c>
      <c r="B308" s="152" t="s">
        <v>3035</v>
      </c>
      <c r="C308" s="40" t="s">
        <v>748</v>
      </c>
      <c r="D308" s="104" t="s">
        <v>3023</v>
      </c>
      <c r="E308" s="45" t="s">
        <v>20</v>
      </c>
      <c r="F308" s="40" t="s">
        <v>3036</v>
      </c>
      <c r="G308" s="114">
        <f>99311.73+59598</f>
        <v>158909.72999999998</v>
      </c>
      <c r="H308" s="104" t="s">
        <v>3037</v>
      </c>
      <c r="I308" s="40" t="s">
        <v>2734</v>
      </c>
      <c r="J308" s="114">
        <v>0</v>
      </c>
    </row>
    <row r="309" spans="1:10" s="6" customFormat="1" ht="38.25" x14ac:dyDescent="0.2">
      <c r="A309" s="175">
        <v>303</v>
      </c>
      <c r="B309" s="153" t="s">
        <v>3038</v>
      </c>
      <c r="C309" s="40" t="s">
        <v>3039</v>
      </c>
      <c r="D309" s="104" t="s">
        <v>3040</v>
      </c>
      <c r="E309" s="45" t="s">
        <v>20</v>
      </c>
      <c r="F309" s="40" t="s">
        <v>806</v>
      </c>
      <c r="G309" s="114">
        <v>3124965</v>
      </c>
      <c r="H309" s="104" t="s">
        <v>3041</v>
      </c>
      <c r="I309" s="40" t="s">
        <v>3042</v>
      </c>
      <c r="J309" s="112">
        <v>0</v>
      </c>
    </row>
    <row r="310" spans="1:10" s="6" customFormat="1" ht="38.25" x14ac:dyDescent="0.2">
      <c r="A310" s="175">
        <v>304</v>
      </c>
      <c r="B310" s="153" t="s">
        <v>3043</v>
      </c>
      <c r="C310" s="40" t="s">
        <v>3044</v>
      </c>
      <c r="D310" s="104" t="s">
        <v>3045</v>
      </c>
      <c r="E310" s="45" t="s">
        <v>20</v>
      </c>
      <c r="F310" s="40" t="s">
        <v>49</v>
      </c>
      <c r="G310" s="114">
        <f>759850+1634923.29+929699.5+706201.94+186239.5+243004.25+546227.88+798742.5+353748.75+4087888.85+366304.95+1027719.06</f>
        <v>11640550.470000001</v>
      </c>
      <c r="H310" s="104" t="s">
        <v>3046</v>
      </c>
      <c r="I310" s="40" t="s">
        <v>2651</v>
      </c>
      <c r="J310" s="114">
        <v>0</v>
      </c>
    </row>
    <row r="311" spans="1:10" s="6" customFormat="1" ht="38.25" x14ac:dyDescent="0.2">
      <c r="A311" s="175">
        <v>305</v>
      </c>
      <c r="B311" s="152" t="s">
        <v>3047</v>
      </c>
      <c r="C311" s="40" t="s">
        <v>906</v>
      </c>
      <c r="D311" s="104" t="s">
        <v>3048</v>
      </c>
      <c r="E311" s="45" t="s">
        <v>20</v>
      </c>
      <c r="F311" s="40" t="s">
        <v>3049</v>
      </c>
      <c r="G311" s="114">
        <f>330830+112486.25</f>
        <v>443316.25</v>
      </c>
      <c r="H311" s="104" t="s">
        <v>3050</v>
      </c>
      <c r="I311" s="40" t="s">
        <v>3042</v>
      </c>
      <c r="J311" s="114">
        <v>0</v>
      </c>
    </row>
    <row r="312" spans="1:10" s="6" customFormat="1" ht="38.25" x14ac:dyDescent="0.2">
      <c r="A312" s="175">
        <v>306</v>
      </c>
      <c r="B312" s="152" t="s">
        <v>3051</v>
      </c>
      <c r="C312" s="40" t="s">
        <v>906</v>
      </c>
      <c r="D312" s="104" t="s">
        <v>3048</v>
      </c>
      <c r="E312" s="45" t="s">
        <v>20</v>
      </c>
      <c r="F312" s="40" t="s">
        <v>3052</v>
      </c>
      <c r="G312" s="114">
        <v>368051.05</v>
      </c>
      <c r="H312" s="104" t="s">
        <v>3053</v>
      </c>
      <c r="I312" s="40" t="s">
        <v>3042</v>
      </c>
      <c r="J312" s="114">
        <v>0</v>
      </c>
    </row>
    <row r="313" spans="1:10" s="6" customFormat="1" ht="38.25" x14ac:dyDescent="0.2">
      <c r="A313" s="175">
        <v>307</v>
      </c>
      <c r="B313" s="153" t="s">
        <v>3057</v>
      </c>
      <c r="C313" s="40" t="s">
        <v>297</v>
      </c>
      <c r="D313" s="104" t="s">
        <v>3058</v>
      </c>
      <c r="E313" s="45" t="s">
        <v>20</v>
      </c>
      <c r="F313" s="40" t="s">
        <v>25</v>
      </c>
      <c r="G313" s="114">
        <v>254798.82</v>
      </c>
      <c r="H313" s="104" t="s">
        <v>3059</v>
      </c>
      <c r="I313" s="40" t="s">
        <v>2651</v>
      </c>
      <c r="J313" s="114">
        <v>0</v>
      </c>
    </row>
    <row r="314" spans="1:10" s="6" customFormat="1" ht="38.25" x14ac:dyDescent="0.2">
      <c r="A314" s="175">
        <v>308</v>
      </c>
      <c r="B314" s="153" t="s">
        <v>3060</v>
      </c>
      <c r="C314" s="40" t="s">
        <v>3044</v>
      </c>
      <c r="D314" s="104" t="s">
        <v>3045</v>
      </c>
      <c r="E314" s="45" t="s">
        <v>20</v>
      </c>
      <c r="F314" s="40" t="s">
        <v>45</v>
      </c>
      <c r="G314" s="114">
        <v>132176.94</v>
      </c>
      <c r="H314" s="104" t="s">
        <v>3061</v>
      </c>
      <c r="I314" s="40" t="s">
        <v>2651</v>
      </c>
      <c r="J314" s="114">
        <v>0</v>
      </c>
    </row>
    <row r="315" spans="1:10" s="6" customFormat="1" ht="38.25" x14ac:dyDescent="0.2">
      <c r="A315" s="175">
        <v>309</v>
      </c>
      <c r="B315" s="153" t="s">
        <v>3064</v>
      </c>
      <c r="C315" s="40" t="s">
        <v>297</v>
      </c>
      <c r="D315" s="104" t="s">
        <v>3058</v>
      </c>
      <c r="E315" s="45" t="s">
        <v>20</v>
      </c>
      <c r="F315" s="40" t="s">
        <v>904</v>
      </c>
      <c r="G315" s="114">
        <f>56700+35910</f>
        <v>92610</v>
      </c>
      <c r="H315" s="104" t="s">
        <v>3065</v>
      </c>
      <c r="I315" s="40" t="s">
        <v>2651</v>
      </c>
      <c r="J315" s="114">
        <v>0</v>
      </c>
    </row>
    <row r="316" spans="1:10" s="6" customFormat="1" ht="38.25" x14ac:dyDescent="0.2">
      <c r="A316" s="175">
        <v>310</v>
      </c>
      <c r="B316" s="152" t="s">
        <v>3067</v>
      </c>
      <c r="C316" s="40" t="s">
        <v>3044</v>
      </c>
      <c r="D316" s="104" t="s">
        <v>3045</v>
      </c>
      <c r="E316" s="45" t="s">
        <v>20</v>
      </c>
      <c r="F316" s="40" t="s">
        <v>317</v>
      </c>
      <c r="G316" s="119">
        <v>208372.5</v>
      </c>
      <c r="H316" s="104" t="s">
        <v>3068</v>
      </c>
      <c r="I316" s="40" t="s">
        <v>2651</v>
      </c>
      <c r="J316" s="112">
        <v>0</v>
      </c>
    </row>
    <row r="317" spans="1:10" s="6" customFormat="1" ht="38.25" x14ac:dyDescent="0.2">
      <c r="A317" s="175">
        <v>311</v>
      </c>
      <c r="B317" s="153" t="s">
        <v>3069</v>
      </c>
      <c r="C317" s="40" t="s">
        <v>297</v>
      </c>
      <c r="D317" s="104" t="s">
        <v>3058</v>
      </c>
      <c r="E317" s="45" t="s">
        <v>20</v>
      </c>
      <c r="F317" s="40" t="s">
        <v>1155</v>
      </c>
      <c r="G317" s="114">
        <v>22238.75</v>
      </c>
      <c r="H317" s="104" t="s">
        <v>3070</v>
      </c>
      <c r="I317" s="40" t="s">
        <v>2651</v>
      </c>
      <c r="J317" s="114">
        <v>0</v>
      </c>
    </row>
    <row r="318" spans="1:10" s="6" customFormat="1" ht="38.25" x14ac:dyDescent="0.2">
      <c r="A318" s="175">
        <v>312</v>
      </c>
      <c r="B318" s="153" t="s">
        <v>3071</v>
      </c>
      <c r="C318" s="40" t="s">
        <v>297</v>
      </c>
      <c r="D318" s="104" t="s">
        <v>3058</v>
      </c>
      <c r="E318" s="45" t="s">
        <v>20</v>
      </c>
      <c r="F318" s="40" t="s">
        <v>3072</v>
      </c>
      <c r="G318" s="114">
        <v>61739.11</v>
      </c>
      <c r="H318" s="104" t="s">
        <v>3073</v>
      </c>
      <c r="I318" s="40" t="s">
        <v>2651</v>
      </c>
      <c r="J318" s="114">
        <v>0</v>
      </c>
    </row>
    <row r="319" spans="1:10" s="6" customFormat="1" ht="38.25" x14ac:dyDescent="0.2">
      <c r="A319" s="175">
        <v>313</v>
      </c>
      <c r="B319" s="153" t="s">
        <v>3074</v>
      </c>
      <c r="C319" s="40" t="s">
        <v>297</v>
      </c>
      <c r="D319" s="104" t="s">
        <v>3058</v>
      </c>
      <c r="E319" s="45" t="s">
        <v>20</v>
      </c>
      <c r="F319" s="40" t="s">
        <v>317</v>
      </c>
      <c r="G319" s="114">
        <f>224283.16+205967.5+70375+41412+36235.5</f>
        <v>578273.16</v>
      </c>
      <c r="H319" s="104" t="s">
        <v>3075</v>
      </c>
      <c r="I319" s="40" t="s">
        <v>2651</v>
      </c>
      <c r="J319" s="112">
        <v>0</v>
      </c>
    </row>
    <row r="320" spans="1:10" s="6" customFormat="1" ht="38.25" x14ac:dyDescent="0.2">
      <c r="A320" s="175">
        <v>314</v>
      </c>
      <c r="B320" s="153" t="s">
        <v>3076</v>
      </c>
      <c r="C320" s="40" t="s">
        <v>73</v>
      </c>
      <c r="D320" s="104" t="s">
        <v>3077</v>
      </c>
      <c r="E320" s="45" t="s">
        <v>20</v>
      </c>
      <c r="F320" s="40" t="s">
        <v>91</v>
      </c>
      <c r="G320" s="114">
        <f>333630+1277500</f>
        <v>1611130</v>
      </c>
      <c r="H320" s="104" t="s">
        <v>3078</v>
      </c>
      <c r="I320" s="40" t="s">
        <v>3079</v>
      </c>
      <c r="J320" s="114">
        <v>0</v>
      </c>
    </row>
    <row r="321" spans="1:11" s="6" customFormat="1" ht="38.25" x14ac:dyDescent="0.2">
      <c r="A321" s="175">
        <v>315</v>
      </c>
      <c r="B321" s="152" t="s">
        <v>3080</v>
      </c>
      <c r="C321" s="40" t="s">
        <v>3081</v>
      </c>
      <c r="D321" s="104" t="s">
        <v>3082</v>
      </c>
      <c r="E321" s="45" t="s">
        <v>20</v>
      </c>
      <c r="F321" s="40" t="s">
        <v>49</v>
      </c>
      <c r="G321" s="114">
        <v>129758.75</v>
      </c>
      <c r="H321" s="104" t="s">
        <v>3083</v>
      </c>
      <c r="I321" s="40" t="s">
        <v>3084</v>
      </c>
      <c r="J321" s="114">
        <v>0</v>
      </c>
    </row>
    <row r="322" spans="1:11" s="6" customFormat="1" ht="38.25" x14ac:dyDescent="0.2">
      <c r="A322" s="175">
        <v>316</v>
      </c>
      <c r="B322" s="152" t="s">
        <v>3085</v>
      </c>
      <c r="C322" s="40" t="s">
        <v>297</v>
      </c>
      <c r="D322" s="104" t="s">
        <v>3058</v>
      </c>
      <c r="E322" s="45" t="s">
        <v>20</v>
      </c>
      <c r="F322" s="40" t="s">
        <v>49</v>
      </c>
      <c r="G322" s="114">
        <f>74338.13</f>
        <v>74338.13</v>
      </c>
      <c r="H322" s="104" t="s">
        <v>3086</v>
      </c>
      <c r="I322" s="40" t="s">
        <v>2651</v>
      </c>
      <c r="J322" s="114">
        <v>0</v>
      </c>
    </row>
    <row r="323" spans="1:11" s="6" customFormat="1" ht="38.25" x14ac:dyDescent="0.2">
      <c r="A323" s="175">
        <v>317</v>
      </c>
      <c r="B323" s="153" t="s">
        <v>3087</v>
      </c>
      <c r="C323" s="40" t="s">
        <v>3088</v>
      </c>
      <c r="D323" s="104" t="s">
        <v>3089</v>
      </c>
      <c r="E323" s="45" t="s">
        <v>20</v>
      </c>
      <c r="F323" s="40" t="s">
        <v>526</v>
      </c>
      <c r="G323" s="119">
        <v>74597.5</v>
      </c>
      <c r="H323" s="104" t="s">
        <v>3100</v>
      </c>
      <c r="I323" s="40" t="s">
        <v>3090</v>
      </c>
      <c r="J323" s="114">
        <v>74597.5</v>
      </c>
    </row>
    <row r="324" spans="1:11" s="6" customFormat="1" ht="38.25" x14ac:dyDescent="0.2">
      <c r="A324" s="175">
        <v>318</v>
      </c>
      <c r="B324" s="153" t="s">
        <v>3091</v>
      </c>
      <c r="C324" s="40" t="s">
        <v>3088</v>
      </c>
      <c r="D324" s="104" t="s">
        <v>3089</v>
      </c>
      <c r="E324" s="45" t="s">
        <v>20</v>
      </c>
      <c r="F324" s="40" t="s">
        <v>526</v>
      </c>
      <c r="G324" s="119">
        <v>98772.5</v>
      </c>
      <c r="H324" s="104" t="s">
        <v>3099</v>
      </c>
      <c r="I324" s="40" t="s">
        <v>3090</v>
      </c>
      <c r="J324" s="114">
        <v>98772.5</v>
      </c>
    </row>
    <row r="325" spans="1:11" s="6" customFormat="1" ht="38.25" x14ac:dyDescent="0.2">
      <c r="A325" s="175">
        <v>319</v>
      </c>
      <c r="B325" s="153" t="s">
        <v>3092</v>
      </c>
      <c r="C325" s="40" t="s">
        <v>3088</v>
      </c>
      <c r="D325" s="104" t="s">
        <v>3089</v>
      </c>
      <c r="E325" s="45" t="s">
        <v>20</v>
      </c>
      <c r="F325" s="40" t="s">
        <v>526</v>
      </c>
      <c r="G325" s="119">
        <v>44243.75</v>
      </c>
      <c r="H325" s="104" t="s">
        <v>3098</v>
      </c>
      <c r="I325" s="40" t="s">
        <v>3094</v>
      </c>
      <c r="J325" s="114">
        <v>44243.75</v>
      </c>
    </row>
    <row r="326" spans="1:11" s="6" customFormat="1" ht="38.25" x14ac:dyDescent="0.2">
      <c r="A326" s="175">
        <v>320</v>
      </c>
      <c r="B326" s="153" t="s">
        <v>3093</v>
      </c>
      <c r="C326" s="40" t="s">
        <v>3088</v>
      </c>
      <c r="D326" s="104" t="s">
        <v>3089</v>
      </c>
      <c r="E326" s="45" t="s">
        <v>20</v>
      </c>
      <c r="F326" s="40" t="s">
        <v>526</v>
      </c>
      <c r="G326" s="119">
        <v>259320</v>
      </c>
      <c r="H326" s="104" t="s">
        <v>3097</v>
      </c>
      <c r="I326" s="40" t="s">
        <v>3094</v>
      </c>
      <c r="J326" s="114">
        <v>259320</v>
      </c>
    </row>
    <row r="327" spans="1:11" s="6" customFormat="1" ht="38.25" x14ac:dyDescent="0.2">
      <c r="A327" s="175">
        <v>321</v>
      </c>
      <c r="B327" s="153" t="s">
        <v>3095</v>
      </c>
      <c r="C327" s="40" t="s">
        <v>3088</v>
      </c>
      <c r="D327" s="104" t="s">
        <v>3089</v>
      </c>
      <c r="E327" s="45" t="s">
        <v>20</v>
      </c>
      <c r="F327" s="40" t="s">
        <v>526</v>
      </c>
      <c r="G327" s="119">
        <v>199526.25</v>
      </c>
      <c r="H327" s="104" t="s">
        <v>3096</v>
      </c>
      <c r="I327" s="40" t="s">
        <v>3094</v>
      </c>
      <c r="J327" s="114">
        <v>199526.25</v>
      </c>
    </row>
    <row r="328" spans="1:11" s="6" customFormat="1" ht="38.25" x14ac:dyDescent="0.2">
      <c r="A328" s="175">
        <v>322</v>
      </c>
      <c r="B328" s="153" t="s">
        <v>3101</v>
      </c>
      <c r="C328" s="40" t="s">
        <v>3088</v>
      </c>
      <c r="D328" s="104" t="s">
        <v>3089</v>
      </c>
      <c r="E328" s="45" t="s">
        <v>20</v>
      </c>
      <c r="F328" s="40" t="s">
        <v>526</v>
      </c>
      <c r="G328" s="119">
        <v>273327.5</v>
      </c>
      <c r="H328" s="104" t="s">
        <v>3102</v>
      </c>
      <c r="I328" s="40" t="s">
        <v>3094</v>
      </c>
      <c r="J328" s="114">
        <v>273327.5</v>
      </c>
    </row>
    <row r="329" spans="1:11" s="6" customFormat="1" ht="38.25" x14ac:dyDescent="0.2">
      <c r="A329" s="175">
        <v>323</v>
      </c>
      <c r="B329" s="152" t="s">
        <v>3103</v>
      </c>
      <c r="C329" s="40" t="s">
        <v>3104</v>
      </c>
      <c r="D329" s="104" t="s">
        <v>3105</v>
      </c>
      <c r="E329" s="45" t="s">
        <v>20</v>
      </c>
      <c r="F329" s="104" t="s">
        <v>3106</v>
      </c>
      <c r="G329" s="114">
        <v>380444.38</v>
      </c>
      <c r="H329" s="104" t="s">
        <v>3107</v>
      </c>
      <c r="I329" s="40" t="s">
        <v>3084</v>
      </c>
      <c r="J329" s="114">
        <v>0</v>
      </c>
    </row>
    <row r="330" spans="1:11" s="6" customFormat="1" ht="38.25" x14ac:dyDescent="0.2">
      <c r="A330" s="175">
        <v>324</v>
      </c>
      <c r="B330" s="153" t="s">
        <v>3108</v>
      </c>
      <c r="C330" s="40" t="s">
        <v>297</v>
      </c>
      <c r="D330" s="104" t="s">
        <v>3058</v>
      </c>
      <c r="E330" s="45" t="s">
        <v>20</v>
      </c>
      <c r="F330" s="40" t="s">
        <v>356</v>
      </c>
      <c r="G330" s="119">
        <f>1609.65+21208.95+27760.95+35639.1+175313.25+33411</f>
        <v>294942.90000000002</v>
      </c>
      <c r="H330" s="104" t="s">
        <v>3109</v>
      </c>
      <c r="I330" s="40" t="s">
        <v>2651</v>
      </c>
      <c r="J330" s="112">
        <v>0</v>
      </c>
      <c r="K330" s="202"/>
    </row>
    <row r="331" spans="1:11" s="6" customFormat="1" ht="38.25" x14ac:dyDescent="0.2">
      <c r="A331" s="175">
        <v>325</v>
      </c>
      <c r="B331" s="153" t="s">
        <v>3117</v>
      </c>
      <c r="C331" s="40" t="s">
        <v>3088</v>
      </c>
      <c r="D331" s="104" t="s">
        <v>3089</v>
      </c>
      <c r="E331" s="45" t="s">
        <v>20</v>
      </c>
      <c r="F331" s="40" t="s">
        <v>49</v>
      </c>
      <c r="G331" s="119">
        <v>214761.28</v>
      </c>
      <c r="H331" s="104" t="s">
        <v>3118</v>
      </c>
      <c r="I331" s="40" t="s">
        <v>3094</v>
      </c>
      <c r="J331" s="114">
        <v>214761.28</v>
      </c>
      <c r="K331" s="179"/>
    </row>
    <row r="332" spans="1:11" s="6" customFormat="1" ht="38.25" x14ac:dyDescent="0.2">
      <c r="A332" s="175">
        <v>326</v>
      </c>
      <c r="B332" s="153" t="s">
        <v>3119</v>
      </c>
      <c r="C332" s="40" t="s">
        <v>3088</v>
      </c>
      <c r="D332" s="104" t="s">
        <v>3089</v>
      </c>
      <c r="E332" s="45" t="s">
        <v>20</v>
      </c>
      <c r="F332" s="40" t="s">
        <v>49</v>
      </c>
      <c r="G332" s="119">
        <v>128996.25</v>
      </c>
      <c r="H332" s="104" t="s">
        <v>3118</v>
      </c>
      <c r="I332" s="40" t="s">
        <v>3090</v>
      </c>
      <c r="J332" s="114">
        <v>128996.25</v>
      </c>
      <c r="K332" s="179"/>
    </row>
    <row r="333" spans="1:11" s="6" customFormat="1" ht="38.25" x14ac:dyDescent="0.2">
      <c r="A333" s="175">
        <v>327</v>
      </c>
      <c r="B333" s="152" t="s">
        <v>3120</v>
      </c>
      <c r="C333" s="40" t="s">
        <v>3044</v>
      </c>
      <c r="D333" s="104" t="s">
        <v>3045</v>
      </c>
      <c r="E333" s="45" t="s">
        <v>20</v>
      </c>
      <c r="F333" s="40" t="s">
        <v>452</v>
      </c>
      <c r="G333" s="114">
        <v>602632</v>
      </c>
      <c r="H333" s="104" t="s">
        <v>3121</v>
      </c>
      <c r="I333" s="40" t="s">
        <v>2651</v>
      </c>
      <c r="J333" s="114">
        <v>0</v>
      </c>
    </row>
    <row r="334" spans="1:11" s="6" customFormat="1" ht="38.25" x14ac:dyDescent="0.2">
      <c r="A334" s="175">
        <v>328</v>
      </c>
      <c r="B334" s="153" t="s">
        <v>3122</v>
      </c>
      <c r="C334" s="40" t="s">
        <v>297</v>
      </c>
      <c r="D334" s="104" t="s">
        <v>3058</v>
      </c>
      <c r="E334" s="45" t="s">
        <v>20</v>
      </c>
      <c r="F334" s="40" t="s">
        <v>78</v>
      </c>
      <c r="G334" s="114">
        <v>540462.5</v>
      </c>
      <c r="H334" s="104" t="s">
        <v>3123</v>
      </c>
      <c r="I334" s="40" t="s">
        <v>2651</v>
      </c>
      <c r="J334" s="114">
        <v>0</v>
      </c>
    </row>
    <row r="335" spans="1:11" s="6" customFormat="1" ht="38.25" x14ac:dyDescent="0.2">
      <c r="A335" s="175">
        <v>329</v>
      </c>
      <c r="B335" s="153" t="s">
        <v>3124</v>
      </c>
      <c r="C335" s="40" t="s">
        <v>297</v>
      </c>
      <c r="D335" s="104" t="s">
        <v>3058</v>
      </c>
      <c r="E335" s="45" t="s">
        <v>20</v>
      </c>
      <c r="F335" s="40" t="s">
        <v>211</v>
      </c>
      <c r="G335" s="114">
        <v>183566.5</v>
      </c>
      <c r="H335" s="104" t="s">
        <v>3125</v>
      </c>
      <c r="I335" s="40" t="s">
        <v>2651</v>
      </c>
      <c r="J335" s="114">
        <v>0</v>
      </c>
    </row>
    <row r="336" spans="1:11" s="6" customFormat="1" ht="38.25" x14ac:dyDescent="0.2">
      <c r="A336" s="175">
        <v>330</v>
      </c>
      <c r="B336" s="152" t="s">
        <v>3126</v>
      </c>
      <c r="C336" s="40" t="s">
        <v>3081</v>
      </c>
      <c r="D336" s="104" t="s">
        <v>3082</v>
      </c>
      <c r="E336" s="45" t="s">
        <v>20</v>
      </c>
      <c r="F336" s="40" t="s">
        <v>45</v>
      </c>
      <c r="G336" s="114">
        <f>110609.85+1437.5+62722.5</f>
        <v>174769.85</v>
      </c>
      <c r="H336" s="104" t="s">
        <v>3127</v>
      </c>
      <c r="I336" s="40" t="s">
        <v>3084</v>
      </c>
      <c r="J336" s="114">
        <v>0</v>
      </c>
    </row>
    <row r="337" spans="1:10" s="6" customFormat="1" ht="38.25" x14ac:dyDescent="0.2">
      <c r="A337" s="175">
        <v>331</v>
      </c>
      <c r="B337" s="153" t="s">
        <v>3128</v>
      </c>
      <c r="C337" s="40" t="s">
        <v>3129</v>
      </c>
      <c r="D337" s="104" t="s">
        <v>3130</v>
      </c>
      <c r="E337" s="45" t="s">
        <v>20</v>
      </c>
      <c r="F337" s="40" t="s">
        <v>385</v>
      </c>
      <c r="G337" s="114">
        <v>905299.36</v>
      </c>
      <c r="H337" s="104" t="s">
        <v>3131</v>
      </c>
      <c r="I337" s="40" t="s">
        <v>3111</v>
      </c>
      <c r="J337" s="114">
        <v>0</v>
      </c>
    </row>
    <row r="338" spans="1:10" s="6" customFormat="1" ht="38.25" x14ac:dyDescent="0.2">
      <c r="A338" s="175">
        <v>332</v>
      </c>
      <c r="B338" s="152" t="s">
        <v>3132</v>
      </c>
      <c r="C338" s="40" t="s">
        <v>3104</v>
      </c>
      <c r="D338" s="104" t="s">
        <v>3105</v>
      </c>
      <c r="E338" s="45" t="s">
        <v>20</v>
      </c>
      <c r="F338" s="40" t="s">
        <v>3133</v>
      </c>
      <c r="G338" s="114">
        <v>577529.06000000006</v>
      </c>
      <c r="H338" s="104" t="s">
        <v>3134</v>
      </c>
      <c r="I338" s="40" t="s">
        <v>3084</v>
      </c>
      <c r="J338" s="114">
        <v>0</v>
      </c>
    </row>
    <row r="339" spans="1:10" s="6" customFormat="1" ht="38.25" x14ac:dyDescent="0.2">
      <c r="A339" s="175">
        <v>333</v>
      </c>
      <c r="B339" s="153" t="s">
        <v>3135</v>
      </c>
      <c r="C339" s="40" t="s">
        <v>3136</v>
      </c>
      <c r="D339" s="104" t="s">
        <v>3137</v>
      </c>
      <c r="E339" s="45" t="s">
        <v>20</v>
      </c>
      <c r="F339" s="40" t="s">
        <v>21</v>
      </c>
      <c r="G339" s="114">
        <v>812490.75</v>
      </c>
      <c r="H339" s="104" t="s">
        <v>3138</v>
      </c>
      <c r="I339" s="40" t="s">
        <v>3084</v>
      </c>
      <c r="J339" s="114">
        <v>0</v>
      </c>
    </row>
    <row r="340" spans="1:10" s="6" customFormat="1" ht="38.25" x14ac:dyDescent="0.2">
      <c r="A340" s="175">
        <v>334</v>
      </c>
      <c r="B340" s="152" t="s">
        <v>3150</v>
      </c>
      <c r="C340" s="40" t="s">
        <v>3044</v>
      </c>
      <c r="D340" s="104" t="s">
        <v>3045</v>
      </c>
      <c r="E340" s="45" t="s">
        <v>20</v>
      </c>
      <c r="F340" s="40" t="s">
        <v>895</v>
      </c>
      <c r="G340" s="114">
        <v>195670</v>
      </c>
      <c r="H340" s="104" t="s">
        <v>3151</v>
      </c>
      <c r="I340" s="40" t="s">
        <v>2651</v>
      </c>
      <c r="J340" s="114">
        <v>0</v>
      </c>
    </row>
    <row r="341" spans="1:10" s="6" customFormat="1" ht="38.25" x14ac:dyDescent="0.2">
      <c r="A341" s="175">
        <v>335</v>
      </c>
      <c r="B341" s="152" t="s">
        <v>3221</v>
      </c>
      <c r="C341" s="40" t="s">
        <v>3044</v>
      </c>
      <c r="D341" s="104" t="s">
        <v>3045</v>
      </c>
      <c r="E341" s="45" t="s">
        <v>20</v>
      </c>
      <c r="F341" s="40" t="s">
        <v>3222</v>
      </c>
      <c r="G341" s="114">
        <v>636297.05000000005</v>
      </c>
      <c r="H341" s="104" t="s">
        <v>3223</v>
      </c>
      <c r="I341" s="40" t="s">
        <v>2651</v>
      </c>
      <c r="J341" s="114">
        <v>0</v>
      </c>
    </row>
    <row r="342" spans="1:10" s="6" customFormat="1" ht="38.25" x14ac:dyDescent="0.2">
      <c r="A342" s="175">
        <v>336</v>
      </c>
      <c r="B342" s="153" t="s">
        <v>3224</v>
      </c>
      <c r="C342" s="40" t="s">
        <v>297</v>
      </c>
      <c r="D342" s="104" t="s">
        <v>3058</v>
      </c>
      <c r="E342" s="45" t="s">
        <v>20</v>
      </c>
      <c r="F342" s="40" t="s">
        <v>3225</v>
      </c>
      <c r="G342" s="114">
        <v>21250</v>
      </c>
      <c r="H342" s="104" t="s">
        <v>3226</v>
      </c>
      <c r="I342" s="40" t="s">
        <v>2651</v>
      </c>
      <c r="J342" s="114">
        <v>0</v>
      </c>
    </row>
    <row r="343" spans="1:10" s="6" customFormat="1" ht="38.25" x14ac:dyDescent="0.2">
      <c r="A343" s="175">
        <v>337</v>
      </c>
      <c r="B343" s="152" t="s">
        <v>3292</v>
      </c>
      <c r="C343" s="40" t="s">
        <v>3081</v>
      </c>
      <c r="D343" s="104" t="s">
        <v>3082</v>
      </c>
      <c r="E343" s="45" t="s">
        <v>20</v>
      </c>
      <c r="F343" s="40" t="s">
        <v>347</v>
      </c>
      <c r="G343" s="114">
        <v>200008.78</v>
      </c>
      <c r="H343" s="104" t="s">
        <v>3293</v>
      </c>
      <c r="I343" s="40" t="s">
        <v>3084</v>
      </c>
      <c r="J343" s="114">
        <v>0</v>
      </c>
    </row>
    <row r="344" spans="1:10" s="6" customFormat="1" ht="38.25" x14ac:dyDescent="0.2">
      <c r="A344" s="175">
        <v>338</v>
      </c>
      <c r="B344" s="153" t="s">
        <v>3305</v>
      </c>
      <c r="C344" s="40" t="s">
        <v>297</v>
      </c>
      <c r="D344" s="104" t="s">
        <v>3058</v>
      </c>
      <c r="E344" s="45" t="s">
        <v>20</v>
      </c>
      <c r="F344" s="40" t="s">
        <v>261</v>
      </c>
      <c r="G344" s="114">
        <v>150880.38</v>
      </c>
      <c r="H344" s="104" t="s">
        <v>3306</v>
      </c>
      <c r="I344" s="40" t="s">
        <v>2651</v>
      </c>
      <c r="J344" s="114">
        <v>0</v>
      </c>
    </row>
    <row r="345" spans="1:10" s="6" customFormat="1" ht="54" customHeight="1" x14ac:dyDescent="0.2">
      <c r="A345" s="175">
        <v>339</v>
      </c>
      <c r="B345" s="153" t="s">
        <v>3307</v>
      </c>
      <c r="C345" s="40" t="s">
        <v>3308</v>
      </c>
      <c r="D345" s="104" t="s">
        <v>3309</v>
      </c>
      <c r="E345" s="45" t="s">
        <v>20</v>
      </c>
      <c r="F345" s="40" t="s">
        <v>526</v>
      </c>
      <c r="G345" s="114">
        <v>1124975</v>
      </c>
      <c r="H345" s="104" t="s">
        <v>3310</v>
      </c>
      <c r="I345" s="40" t="s">
        <v>3311</v>
      </c>
      <c r="J345" s="114">
        <v>0</v>
      </c>
    </row>
    <row r="346" spans="1:10" s="6" customFormat="1" ht="38.25" x14ac:dyDescent="0.2">
      <c r="A346" s="175">
        <v>340</v>
      </c>
      <c r="B346" s="153" t="s">
        <v>3312</v>
      </c>
      <c r="C346" s="40" t="s">
        <v>3313</v>
      </c>
      <c r="D346" s="104" t="s">
        <v>3314</v>
      </c>
      <c r="E346" s="45" t="s">
        <v>20</v>
      </c>
      <c r="F346" s="40" t="s">
        <v>839</v>
      </c>
      <c r="G346" s="114">
        <v>868060</v>
      </c>
      <c r="H346" s="104" t="s">
        <v>3315</v>
      </c>
      <c r="I346" s="115">
        <v>42734</v>
      </c>
      <c r="J346" s="114">
        <v>868060</v>
      </c>
    </row>
    <row r="347" spans="1:10" s="6" customFormat="1" ht="38.25" x14ac:dyDescent="0.2">
      <c r="A347" s="175">
        <v>341</v>
      </c>
      <c r="B347" s="152" t="s">
        <v>3344</v>
      </c>
      <c r="C347" s="40" t="s">
        <v>3044</v>
      </c>
      <c r="D347" s="104" t="s">
        <v>3045</v>
      </c>
      <c r="E347" s="45" t="s">
        <v>20</v>
      </c>
      <c r="F347" s="40" t="s">
        <v>813</v>
      </c>
      <c r="G347" s="114">
        <v>251249.37</v>
      </c>
      <c r="H347" s="104" t="s">
        <v>3345</v>
      </c>
      <c r="I347" s="40" t="s">
        <v>2651</v>
      </c>
      <c r="J347" s="114">
        <v>0</v>
      </c>
    </row>
    <row r="348" spans="1:10" s="6" customFormat="1" ht="38.25" x14ac:dyDescent="0.2">
      <c r="A348" s="175">
        <v>342</v>
      </c>
      <c r="B348" s="153" t="s">
        <v>3346</v>
      </c>
      <c r="C348" s="40" t="s">
        <v>3347</v>
      </c>
      <c r="D348" s="104" t="s">
        <v>3348</v>
      </c>
      <c r="E348" s="45" t="s">
        <v>20</v>
      </c>
      <c r="F348" s="40" t="s">
        <v>249</v>
      </c>
      <c r="G348" s="114">
        <v>1344723.3</v>
      </c>
      <c r="H348" s="104" t="s">
        <v>3349</v>
      </c>
      <c r="I348" s="40" t="s">
        <v>3311</v>
      </c>
      <c r="J348" s="114">
        <v>0</v>
      </c>
    </row>
    <row r="349" spans="1:10" s="6" customFormat="1" ht="38.25" x14ac:dyDescent="0.2">
      <c r="A349" s="175">
        <v>343</v>
      </c>
      <c r="B349" s="153" t="s">
        <v>3446</v>
      </c>
      <c r="C349" s="40" t="s">
        <v>3447</v>
      </c>
      <c r="D349" s="104" t="s">
        <v>3448</v>
      </c>
      <c r="E349" s="45" t="s">
        <v>20</v>
      </c>
      <c r="F349" s="40" t="s">
        <v>49</v>
      </c>
      <c r="G349" s="114">
        <f>43743.75+413885</f>
        <v>457628.75</v>
      </c>
      <c r="H349" s="104" t="s">
        <v>3449</v>
      </c>
      <c r="I349" s="40" t="s">
        <v>3450</v>
      </c>
      <c r="J349" s="114">
        <v>0</v>
      </c>
    </row>
    <row r="350" spans="1:10" s="6" customFormat="1" ht="38.25" x14ac:dyDescent="0.2">
      <c r="A350" s="175">
        <v>344</v>
      </c>
      <c r="B350" s="153" t="s">
        <v>3451</v>
      </c>
      <c r="C350" s="40" t="s">
        <v>3452</v>
      </c>
      <c r="D350" s="104" t="s">
        <v>3453</v>
      </c>
      <c r="E350" s="45" t="s">
        <v>20</v>
      </c>
      <c r="F350" s="40" t="s">
        <v>49</v>
      </c>
      <c r="G350" s="114">
        <f>290200+86088.75</f>
        <v>376288.75</v>
      </c>
      <c r="H350" s="104" t="s">
        <v>3454</v>
      </c>
      <c r="I350" s="40" t="s">
        <v>3455</v>
      </c>
      <c r="J350" s="114">
        <v>0</v>
      </c>
    </row>
    <row r="351" spans="1:10" s="6" customFormat="1" ht="38.25" x14ac:dyDescent="0.2">
      <c r="A351" s="175">
        <v>345</v>
      </c>
      <c r="B351" s="153" t="s">
        <v>3514</v>
      </c>
      <c r="C351" s="40" t="s">
        <v>1860</v>
      </c>
      <c r="D351" s="104" t="s">
        <v>3515</v>
      </c>
      <c r="E351" s="45" t="s">
        <v>20</v>
      </c>
      <c r="F351" s="40" t="s">
        <v>1950</v>
      </c>
      <c r="G351" s="114">
        <v>57436.25</v>
      </c>
      <c r="H351" s="104" t="s">
        <v>3516</v>
      </c>
      <c r="I351" s="40" t="s">
        <v>3455</v>
      </c>
      <c r="J351" s="114">
        <v>0</v>
      </c>
    </row>
    <row r="352" spans="1:10" s="6" customFormat="1" ht="38.25" x14ac:dyDescent="0.2">
      <c r="A352" s="175">
        <v>346</v>
      </c>
      <c r="B352" s="153" t="s">
        <v>3517</v>
      </c>
      <c r="C352" s="40" t="s">
        <v>3447</v>
      </c>
      <c r="D352" s="104" t="s">
        <v>3448</v>
      </c>
      <c r="E352" s="45" t="s">
        <v>20</v>
      </c>
      <c r="F352" s="40" t="s">
        <v>166</v>
      </c>
      <c r="G352" s="114">
        <v>5128.75</v>
      </c>
      <c r="H352" s="104" t="s">
        <v>3518</v>
      </c>
      <c r="I352" s="40" t="s">
        <v>3450</v>
      </c>
      <c r="J352" s="114">
        <v>0</v>
      </c>
    </row>
    <row r="353" spans="1:10" s="6" customFormat="1" ht="38.25" x14ac:dyDescent="0.2">
      <c r="A353" s="175">
        <v>347</v>
      </c>
      <c r="B353" s="152" t="s">
        <v>3602</v>
      </c>
      <c r="C353" s="40" t="s">
        <v>3452</v>
      </c>
      <c r="D353" s="104" t="s">
        <v>3453</v>
      </c>
      <c r="E353" s="45" t="s">
        <v>20</v>
      </c>
      <c r="F353" s="40" t="s">
        <v>375</v>
      </c>
      <c r="G353" s="114">
        <f>180825+12937.5+13000</f>
        <v>206762.5</v>
      </c>
      <c r="H353" s="104" t="s">
        <v>3603</v>
      </c>
      <c r="I353" s="40" t="s">
        <v>3455</v>
      </c>
      <c r="J353" s="114">
        <v>0</v>
      </c>
    </row>
    <row r="354" spans="1:10" s="6" customFormat="1" ht="38.25" x14ac:dyDescent="0.2">
      <c r="A354" s="175">
        <v>348</v>
      </c>
      <c r="B354" s="153" t="s">
        <v>3604</v>
      </c>
      <c r="C354" s="40" t="s">
        <v>3447</v>
      </c>
      <c r="D354" s="104" t="s">
        <v>3448</v>
      </c>
      <c r="E354" s="45" t="s">
        <v>20</v>
      </c>
      <c r="F354" s="40" t="s">
        <v>375</v>
      </c>
      <c r="G354" s="114">
        <v>86812.5</v>
      </c>
      <c r="H354" s="104" t="s">
        <v>3605</v>
      </c>
      <c r="I354" s="40" t="s">
        <v>3450</v>
      </c>
      <c r="J354" s="114">
        <v>0</v>
      </c>
    </row>
    <row r="355" spans="1:10" s="6" customFormat="1" ht="38.25" x14ac:dyDescent="0.2">
      <c r="A355" s="175">
        <v>349</v>
      </c>
      <c r="B355" s="153" t="s">
        <v>3612</v>
      </c>
      <c r="C355" s="40" t="s">
        <v>30</v>
      </c>
      <c r="D355" s="104" t="s">
        <v>3613</v>
      </c>
      <c r="E355" s="45" t="s">
        <v>20</v>
      </c>
      <c r="F355" s="40" t="s">
        <v>32</v>
      </c>
      <c r="G355" s="114">
        <v>307020</v>
      </c>
      <c r="H355" s="104" t="s">
        <v>3614</v>
      </c>
      <c r="I355" s="40" t="s">
        <v>3455</v>
      </c>
      <c r="J355" s="114">
        <v>0</v>
      </c>
    </row>
    <row r="356" spans="1:10" s="6" customFormat="1" ht="38.25" x14ac:dyDescent="0.2">
      <c r="A356" s="175">
        <v>350</v>
      </c>
      <c r="B356" s="153" t="s">
        <v>3626</v>
      </c>
      <c r="C356" s="40" t="s">
        <v>3447</v>
      </c>
      <c r="D356" s="104" t="s">
        <v>3448</v>
      </c>
      <c r="E356" s="45" t="s">
        <v>20</v>
      </c>
      <c r="F356" s="40" t="s">
        <v>138</v>
      </c>
      <c r="G356" s="114">
        <v>36562.5</v>
      </c>
      <c r="H356" s="104" t="s">
        <v>3627</v>
      </c>
      <c r="I356" s="115" t="s">
        <v>3450</v>
      </c>
      <c r="J356" s="114">
        <v>0</v>
      </c>
    </row>
    <row r="357" spans="1:10" s="6" customFormat="1" ht="38.25" x14ac:dyDescent="0.2">
      <c r="A357" s="175">
        <v>351</v>
      </c>
      <c r="B357" s="153" t="s">
        <v>3631</v>
      </c>
      <c r="C357" s="40" t="s">
        <v>3629</v>
      </c>
      <c r="D357" s="104" t="s">
        <v>3630</v>
      </c>
      <c r="E357" s="45" t="s">
        <v>20</v>
      </c>
      <c r="F357" s="40" t="s">
        <v>45</v>
      </c>
      <c r="G357" s="114">
        <v>258750</v>
      </c>
      <c r="H357" s="104" t="s">
        <v>3628</v>
      </c>
      <c r="I357" s="40" t="s">
        <v>3634</v>
      </c>
      <c r="J357" s="114">
        <v>0</v>
      </c>
    </row>
    <row r="358" spans="1:10" s="6" customFormat="1" ht="38.25" x14ac:dyDescent="0.2">
      <c r="A358" s="175">
        <v>352</v>
      </c>
      <c r="B358" s="152" t="s">
        <v>3632</v>
      </c>
      <c r="C358" s="40" t="s">
        <v>1860</v>
      </c>
      <c r="D358" s="104" t="s">
        <v>3515</v>
      </c>
      <c r="E358" s="22" t="s">
        <v>20</v>
      </c>
      <c r="F358" s="40" t="s">
        <v>1894</v>
      </c>
      <c r="G358" s="114">
        <v>43562.5</v>
      </c>
      <c r="H358" s="104" t="s">
        <v>3633</v>
      </c>
      <c r="I358" s="115">
        <v>43084</v>
      </c>
      <c r="J358" s="114">
        <v>0</v>
      </c>
    </row>
    <row r="359" spans="1:10" s="6" customFormat="1" ht="38.25" x14ac:dyDescent="0.2">
      <c r="A359" s="175">
        <v>353</v>
      </c>
      <c r="B359" s="153" t="s">
        <v>3653</v>
      </c>
      <c r="C359" s="40" t="s">
        <v>3447</v>
      </c>
      <c r="D359" s="104" t="s">
        <v>3448</v>
      </c>
      <c r="E359" s="45" t="s">
        <v>20</v>
      </c>
      <c r="F359" s="104" t="s">
        <v>1308</v>
      </c>
      <c r="G359" s="114">
        <f>57495+94987.5+28875+12375+12498.75+2453.75+8312.75+88815</f>
        <v>305812.75</v>
      </c>
      <c r="H359" s="104" t="s">
        <v>3654</v>
      </c>
      <c r="I359" s="115">
        <v>43082</v>
      </c>
      <c r="J359" s="114">
        <v>0</v>
      </c>
    </row>
    <row r="360" spans="1:10" s="6" customFormat="1" ht="38.25" x14ac:dyDescent="0.2">
      <c r="A360" s="175">
        <v>354</v>
      </c>
      <c r="B360" s="153" t="s">
        <v>3656</v>
      </c>
      <c r="C360" s="40" t="s">
        <v>3452</v>
      </c>
      <c r="D360" s="104" t="s">
        <v>3453</v>
      </c>
      <c r="E360" s="45" t="s">
        <v>20</v>
      </c>
      <c r="F360" s="104" t="s">
        <v>1308</v>
      </c>
      <c r="G360" s="114">
        <f>117477.5+143452.5+1237.5+27837.5+195000+31700</f>
        <v>516705</v>
      </c>
      <c r="H360" s="104" t="s">
        <v>3655</v>
      </c>
      <c r="I360" s="40" t="s">
        <v>3455</v>
      </c>
      <c r="J360" s="114">
        <v>0</v>
      </c>
    </row>
    <row r="361" spans="1:10" s="6" customFormat="1" ht="38.25" x14ac:dyDescent="0.2">
      <c r="A361" s="175">
        <v>355</v>
      </c>
      <c r="B361" s="153" t="s">
        <v>3685</v>
      </c>
      <c r="C361" s="40" t="s">
        <v>3688</v>
      </c>
      <c r="D361" s="196" t="s">
        <v>3689</v>
      </c>
      <c r="E361" s="45" t="s">
        <v>20</v>
      </c>
      <c r="F361" s="40" t="s">
        <v>699</v>
      </c>
      <c r="G361" s="114">
        <v>2049456.56</v>
      </c>
      <c r="H361" s="104" t="s">
        <v>3687</v>
      </c>
      <c r="I361" s="40" t="s">
        <v>3686</v>
      </c>
      <c r="J361" s="114">
        <v>0</v>
      </c>
    </row>
    <row r="362" spans="1:10" s="6" customFormat="1" ht="38.25" x14ac:dyDescent="0.2">
      <c r="A362" s="175">
        <v>356</v>
      </c>
      <c r="B362" s="153" t="s">
        <v>3999</v>
      </c>
      <c r="C362" s="40" t="s">
        <v>1852</v>
      </c>
      <c r="D362" s="104" t="s">
        <v>4000</v>
      </c>
      <c r="E362" s="45" t="s">
        <v>20</v>
      </c>
      <c r="F362" s="40" t="s">
        <v>261</v>
      </c>
      <c r="G362" s="114">
        <v>4795060</v>
      </c>
      <c r="H362" s="104" t="s">
        <v>4001</v>
      </c>
      <c r="I362" s="40" t="s">
        <v>4002</v>
      </c>
      <c r="J362" s="114">
        <v>0</v>
      </c>
    </row>
    <row r="363" spans="1:10" s="6" customFormat="1" ht="51" x14ac:dyDescent="0.2">
      <c r="A363" s="175">
        <v>357</v>
      </c>
      <c r="B363" s="180" t="s">
        <v>4057</v>
      </c>
      <c r="C363" s="40" t="s">
        <v>35</v>
      </c>
      <c r="D363" s="104" t="s">
        <v>4058</v>
      </c>
      <c r="E363" s="45" t="s">
        <v>20</v>
      </c>
      <c r="F363" s="40" t="s">
        <v>4059</v>
      </c>
      <c r="G363" s="114">
        <v>5671.25</v>
      </c>
      <c r="H363" s="104" t="s">
        <v>4061</v>
      </c>
      <c r="I363" s="40" t="s">
        <v>4060</v>
      </c>
      <c r="J363" s="114">
        <v>0</v>
      </c>
    </row>
    <row r="364" spans="1:10" s="6" customFormat="1" ht="38.25" x14ac:dyDescent="0.2">
      <c r="A364" s="175">
        <v>358</v>
      </c>
      <c r="B364" s="208" t="s">
        <v>4062</v>
      </c>
      <c r="C364" s="40" t="s">
        <v>4134</v>
      </c>
      <c r="D364" s="104" t="s">
        <v>4133</v>
      </c>
      <c r="E364" s="22" t="s">
        <v>20</v>
      </c>
      <c r="F364" s="40" t="s">
        <v>2133</v>
      </c>
      <c r="G364" s="114">
        <v>2671935</v>
      </c>
      <c r="H364" s="104" t="s">
        <v>4063</v>
      </c>
      <c r="I364" s="40" t="s">
        <v>4064</v>
      </c>
      <c r="J364" s="114">
        <v>0</v>
      </c>
    </row>
    <row r="365" spans="1:10" x14ac:dyDescent="0.2">
      <c r="A365" s="207"/>
      <c r="B365" s="205"/>
    </row>
    <row r="366" spans="1:10" x14ac:dyDescent="0.2">
      <c r="A366" s="207"/>
      <c r="B366" s="206"/>
    </row>
    <row r="367" spans="1:10" x14ac:dyDescent="0.2">
      <c r="A367" s="206"/>
      <c r="B367" s="206"/>
    </row>
  </sheetData>
  <sheetProtection selectLockedCells="1" selectUnlockedCells="1"/>
  <autoFilter ref="A6:J364"/>
  <mergeCells count="3">
    <mergeCell ref="A1:B1"/>
    <mergeCell ref="A2:B2"/>
    <mergeCell ref="A4:C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42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9"/>
  <sheetViews>
    <sheetView zoomScale="70" zoomScaleNormal="70" workbookViewId="0">
      <pane ySplit="6" topLeftCell="A144" activePane="bottomLeft" state="frozen"/>
      <selection pane="bottomLeft" activeCell="A7" sqref="A7:A149"/>
    </sheetView>
  </sheetViews>
  <sheetFormatPr defaultRowHeight="12.75" x14ac:dyDescent="0.2"/>
  <cols>
    <col min="1" max="1" width="10.28515625" customWidth="1"/>
    <col min="2" max="2" width="57" customWidth="1"/>
    <col min="3" max="3" width="25.140625" customWidth="1"/>
    <col min="4" max="4" width="22.28515625" customWidth="1"/>
    <col min="5" max="5" width="13" style="164" customWidth="1"/>
    <col min="6" max="6" width="16" style="19" customWidth="1"/>
    <col min="7" max="7" width="14.42578125" customWidth="1"/>
    <col min="8" max="8" width="35.42578125" customWidth="1"/>
    <col min="9" max="9" width="15.140625" customWidth="1"/>
    <col min="10" max="10" width="14.7109375" customWidth="1"/>
    <col min="11" max="11" width="31.28515625" customWidth="1"/>
  </cols>
  <sheetData>
    <row r="1" spans="1:10" ht="12.95" customHeight="1" x14ac:dyDescent="0.2">
      <c r="A1" s="33" t="s">
        <v>6</v>
      </c>
      <c r="B1" s="33"/>
      <c r="C1" s="33"/>
      <c r="D1" s="33"/>
      <c r="E1" s="174"/>
      <c r="F1" s="106"/>
      <c r="G1" s="33"/>
      <c r="H1" s="7"/>
    </row>
    <row r="2" spans="1:10" x14ac:dyDescent="0.2">
      <c r="A2" s="33" t="s">
        <v>466</v>
      </c>
      <c r="B2" s="33"/>
      <c r="C2" s="33"/>
      <c r="D2" s="33"/>
      <c r="E2" s="174"/>
      <c r="F2" s="106"/>
      <c r="G2" s="33"/>
      <c r="H2" s="7"/>
    </row>
    <row r="3" spans="1:10" x14ac:dyDescent="0.2">
      <c r="A3" s="2"/>
      <c r="B3" s="1"/>
      <c r="C3" s="9"/>
      <c r="D3" s="9"/>
      <c r="H3" s="7"/>
    </row>
    <row r="4" spans="1:10" x14ac:dyDescent="0.2">
      <c r="A4" s="214" t="s">
        <v>4170</v>
      </c>
      <c r="B4" s="214"/>
      <c r="C4" s="214"/>
      <c r="D4" s="214"/>
      <c r="E4" s="214"/>
      <c r="F4" s="214"/>
      <c r="G4" s="214"/>
      <c r="H4" s="32"/>
    </row>
    <row r="5" spans="1:10" x14ac:dyDescent="0.2">
      <c r="A5" s="2"/>
      <c r="B5" s="1"/>
      <c r="C5" s="9"/>
      <c r="D5" s="9"/>
      <c r="H5" s="7"/>
    </row>
    <row r="6" spans="1:10" ht="78.75" customHeight="1" x14ac:dyDescent="0.2">
      <c r="A6" s="30" t="s">
        <v>467</v>
      </c>
      <c r="B6" s="30" t="s">
        <v>7</v>
      </c>
      <c r="C6" s="30" t="s">
        <v>2</v>
      </c>
      <c r="D6" s="30" t="s">
        <v>8</v>
      </c>
      <c r="E6" s="30" t="s">
        <v>9</v>
      </c>
      <c r="F6" s="59" t="s">
        <v>1394</v>
      </c>
      <c r="G6" s="30" t="s">
        <v>469</v>
      </c>
      <c r="H6" s="30" t="s">
        <v>10</v>
      </c>
      <c r="I6" s="30" t="s">
        <v>13</v>
      </c>
      <c r="J6" s="30" t="s">
        <v>14</v>
      </c>
    </row>
    <row r="7" spans="1:10" s="6" customFormat="1" ht="38.25" x14ac:dyDescent="0.2">
      <c r="A7" s="127">
        <v>1</v>
      </c>
      <c r="B7" s="104" t="s">
        <v>1343</v>
      </c>
      <c r="C7" s="198"/>
      <c r="D7" s="114"/>
      <c r="E7" s="104" t="s">
        <v>4208</v>
      </c>
      <c r="F7" s="114">
        <f>38158.54*1.25</f>
        <v>47698.175000000003</v>
      </c>
      <c r="G7" s="104" t="s">
        <v>481</v>
      </c>
      <c r="H7" s="40" t="s">
        <v>480</v>
      </c>
      <c r="I7" s="115">
        <v>42706</v>
      </c>
      <c r="J7" s="114">
        <v>0</v>
      </c>
    </row>
    <row r="8" spans="1:10" s="6" customFormat="1" ht="38.25" x14ac:dyDescent="0.2">
      <c r="A8" s="127">
        <v>2</v>
      </c>
      <c r="B8" s="104" t="s">
        <v>1344</v>
      </c>
      <c r="C8" s="198"/>
      <c r="D8" s="114"/>
      <c r="E8" s="104" t="s">
        <v>4208</v>
      </c>
      <c r="F8" s="114">
        <v>496125</v>
      </c>
      <c r="G8" s="104" t="s">
        <v>482</v>
      </c>
      <c r="H8" s="40" t="s">
        <v>91</v>
      </c>
      <c r="I8" s="115">
        <v>42706</v>
      </c>
      <c r="J8" s="114">
        <v>0</v>
      </c>
    </row>
    <row r="9" spans="1:10" s="6" customFormat="1" ht="38.25" x14ac:dyDescent="0.2">
      <c r="A9" s="127">
        <v>3</v>
      </c>
      <c r="B9" s="104" t="s">
        <v>1345</v>
      </c>
      <c r="C9" s="198"/>
      <c r="D9" s="114"/>
      <c r="E9" s="104" t="s">
        <v>4208</v>
      </c>
      <c r="F9" s="132">
        <v>540068.75</v>
      </c>
      <c r="G9" s="133" t="s">
        <v>565</v>
      </c>
      <c r="H9" s="134" t="s">
        <v>249</v>
      </c>
      <c r="I9" s="135">
        <v>42706</v>
      </c>
      <c r="J9" s="132">
        <v>0</v>
      </c>
    </row>
    <row r="10" spans="1:10" s="6" customFormat="1" ht="38.25" x14ac:dyDescent="0.2">
      <c r="A10" s="127">
        <v>4</v>
      </c>
      <c r="B10" s="104" t="s">
        <v>566</v>
      </c>
      <c r="C10" s="42"/>
      <c r="D10" s="114"/>
      <c r="E10" s="104" t="s">
        <v>4208</v>
      </c>
      <c r="F10" s="114">
        <v>12337.5</v>
      </c>
      <c r="G10" s="104" t="s">
        <v>567</v>
      </c>
      <c r="H10" s="40" t="s">
        <v>568</v>
      </c>
      <c r="I10" s="115">
        <v>42795</v>
      </c>
      <c r="J10" s="114">
        <v>0</v>
      </c>
    </row>
    <row r="11" spans="1:10" s="6" customFormat="1" ht="38.25" x14ac:dyDescent="0.2">
      <c r="A11" s="127">
        <v>5</v>
      </c>
      <c r="B11" s="104" t="s">
        <v>1346</v>
      </c>
      <c r="C11" s="198"/>
      <c r="D11" s="114"/>
      <c r="E11" s="104" t="s">
        <v>4208</v>
      </c>
      <c r="F11" s="114">
        <f>166927.5*1.25</f>
        <v>208659.375</v>
      </c>
      <c r="G11" s="104" t="s">
        <v>596</v>
      </c>
      <c r="H11" s="40" t="s">
        <v>240</v>
      </c>
      <c r="I11" s="115">
        <v>42706</v>
      </c>
      <c r="J11" s="114">
        <v>0</v>
      </c>
    </row>
    <row r="12" spans="1:10" s="6" customFormat="1" ht="51" x14ac:dyDescent="0.2">
      <c r="A12" s="127">
        <v>6</v>
      </c>
      <c r="B12" s="104" t="s">
        <v>778</v>
      </c>
      <c r="C12" s="38"/>
      <c r="D12" s="38"/>
      <c r="E12" s="104" t="s">
        <v>4208</v>
      </c>
      <c r="F12" s="114">
        <f>57672.84*1.25</f>
        <v>72091.049999999988</v>
      </c>
      <c r="G12" s="104" t="s">
        <v>779</v>
      </c>
      <c r="H12" s="40" t="s">
        <v>452</v>
      </c>
      <c r="I12" s="115">
        <v>42861</v>
      </c>
      <c r="J12" s="114">
        <v>0</v>
      </c>
    </row>
    <row r="13" spans="1:10" s="6" customFormat="1" ht="51" x14ac:dyDescent="0.2">
      <c r="A13" s="127">
        <v>7</v>
      </c>
      <c r="B13" s="104" t="s">
        <v>797</v>
      </c>
      <c r="C13" s="38"/>
      <c r="D13" s="38"/>
      <c r="E13" s="104" t="s">
        <v>4208</v>
      </c>
      <c r="F13" s="114">
        <v>3956.4</v>
      </c>
      <c r="G13" s="104" t="s">
        <v>798</v>
      </c>
      <c r="H13" s="40" t="s">
        <v>45</v>
      </c>
      <c r="I13" s="115">
        <v>42861</v>
      </c>
      <c r="J13" s="114">
        <v>0</v>
      </c>
    </row>
    <row r="14" spans="1:10" s="39" customFormat="1" ht="51" x14ac:dyDescent="0.2">
      <c r="A14" s="127">
        <v>8</v>
      </c>
      <c r="B14" s="42" t="s">
        <v>808</v>
      </c>
      <c r="C14" s="38"/>
      <c r="D14" s="38"/>
      <c r="E14" s="104" t="s">
        <v>4208</v>
      </c>
      <c r="F14" s="119">
        <f>74368.8*1.25</f>
        <v>92961</v>
      </c>
      <c r="G14" s="104" t="s">
        <v>809</v>
      </c>
      <c r="H14" s="40" t="s">
        <v>555</v>
      </c>
      <c r="I14" s="121">
        <v>42861</v>
      </c>
      <c r="J14" s="114">
        <v>0</v>
      </c>
    </row>
    <row r="15" spans="1:10" s="6" customFormat="1" ht="51" x14ac:dyDescent="0.2">
      <c r="A15" s="127">
        <v>9</v>
      </c>
      <c r="B15" s="104" t="s">
        <v>831</v>
      </c>
      <c r="C15" s="38"/>
      <c r="D15" s="38"/>
      <c r="E15" s="104" t="s">
        <v>4208</v>
      </c>
      <c r="F15" s="114">
        <f>6873.76*1.25</f>
        <v>8592.2000000000007</v>
      </c>
      <c r="G15" s="104" t="s">
        <v>832</v>
      </c>
      <c r="H15" s="40" t="s">
        <v>480</v>
      </c>
      <c r="I15" s="115">
        <v>42496</v>
      </c>
      <c r="J15" s="114">
        <v>0</v>
      </c>
    </row>
    <row r="16" spans="1:10" s="6" customFormat="1" ht="38.25" x14ac:dyDescent="0.2">
      <c r="A16" s="127">
        <v>10</v>
      </c>
      <c r="B16" s="104" t="s">
        <v>847</v>
      </c>
      <c r="C16" s="38"/>
      <c r="D16" s="101"/>
      <c r="E16" s="104" t="s">
        <v>4208</v>
      </c>
      <c r="F16" s="114">
        <v>1362175</v>
      </c>
      <c r="G16" s="104" t="s">
        <v>846</v>
      </c>
      <c r="H16" s="40" t="s">
        <v>91</v>
      </c>
      <c r="I16" s="115">
        <v>42522</v>
      </c>
      <c r="J16" s="114">
        <v>0</v>
      </c>
    </row>
    <row r="17" spans="1:10" s="6" customFormat="1" ht="38.25" x14ac:dyDescent="0.2">
      <c r="A17" s="127">
        <v>11</v>
      </c>
      <c r="B17" s="104" t="s">
        <v>848</v>
      </c>
      <c r="C17" s="38"/>
      <c r="D17" s="101"/>
      <c r="E17" s="104" t="s">
        <v>4208</v>
      </c>
      <c r="F17" s="114">
        <v>970258.75</v>
      </c>
      <c r="G17" s="104" t="s">
        <v>849</v>
      </c>
      <c r="H17" s="40" t="s">
        <v>83</v>
      </c>
      <c r="I17" s="115">
        <v>42522</v>
      </c>
      <c r="J17" s="114">
        <v>0</v>
      </c>
    </row>
    <row r="18" spans="1:10" s="6" customFormat="1" ht="38.25" x14ac:dyDescent="0.2">
      <c r="A18" s="127">
        <v>12</v>
      </c>
      <c r="B18" s="104" t="s">
        <v>856</v>
      </c>
      <c r="C18" s="38"/>
      <c r="D18" s="38"/>
      <c r="E18" s="104" t="s">
        <v>4208</v>
      </c>
      <c r="F18" s="114">
        <v>3874206.75</v>
      </c>
      <c r="G18" s="104" t="s">
        <v>873</v>
      </c>
      <c r="H18" s="104" t="s">
        <v>857</v>
      </c>
      <c r="I18" s="115">
        <v>42496</v>
      </c>
      <c r="J18" s="114">
        <v>0</v>
      </c>
    </row>
    <row r="19" spans="1:10" s="6" customFormat="1" ht="38.25" x14ac:dyDescent="0.2">
      <c r="A19" s="127">
        <v>13</v>
      </c>
      <c r="B19" s="104" t="s">
        <v>870</v>
      </c>
      <c r="C19" s="38"/>
      <c r="D19" s="101"/>
      <c r="E19" s="104" t="s">
        <v>4208</v>
      </c>
      <c r="F19" s="114">
        <v>4286752.5</v>
      </c>
      <c r="G19" s="104" t="s">
        <v>872</v>
      </c>
      <c r="H19" s="40" t="s">
        <v>871</v>
      </c>
      <c r="I19" s="115">
        <v>42522</v>
      </c>
      <c r="J19" s="114">
        <v>0</v>
      </c>
    </row>
    <row r="20" spans="1:10" s="6" customFormat="1" ht="38.25" x14ac:dyDescent="0.2">
      <c r="A20" s="127">
        <v>14</v>
      </c>
      <c r="B20" s="104" t="s">
        <v>883</v>
      </c>
      <c r="C20" s="38"/>
      <c r="D20" s="101"/>
      <c r="E20" s="104" t="s">
        <v>4208</v>
      </c>
      <c r="F20" s="114">
        <v>52705</v>
      </c>
      <c r="G20" s="104" t="s">
        <v>884</v>
      </c>
      <c r="H20" s="40" t="s">
        <v>885</v>
      </c>
      <c r="I20" s="115">
        <v>42522</v>
      </c>
      <c r="J20" s="114">
        <v>0</v>
      </c>
    </row>
    <row r="21" spans="1:10" s="6" customFormat="1" ht="38.25" x14ac:dyDescent="0.2">
      <c r="A21" s="127">
        <v>15</v>
      </c>
      <c r="B21" s="104" t="s">
        <v>887</v>
      </c>
      <c r="C21" s="38"/>
      <c r="D21" s="101"/>
      <c r="E21" s="104" t="s">
        <v>4208</v>
      </c>
      <c r="F21" s="114">
        <v>1673350</v>
      </c>
      <c r="G21" s="104" t="s">
        <v>886</v>
      </c>
      <c r="H21" s="40" t="s">
        <v>78</v>
      </c>
      <c r="I21" s="115">
        <v>42522</v>
      </c>
      <c r="J21" s="114">
        <v>0</v>
      </c>
    </row>
    <row r="22" spans="1:10" s="6" customFormat="1" ht="38.25" x14ac:dyDescent="0.2">
      <c r="A22" s="127">
        <v>16</v>
      </c>
      <c r="B22" s="104" t="s">
        <v>891</v>
      </c>
      <c r="C22" s="38"/>
      <c r="D22" s="101"/>
      <c r="E22" s="104" t="s">
        <v>4208</v>
      </c>
      <c r="F22" s="114">
        <v>6180894.3499999996</v>
      </c>
      <c r="G22" s="104" t="s">
        <v>892</v>
      </c>
      <c r="H22" s="40" t="s">
        <v>480</v>
      </c>
      <c r="I22" s="115">
        <v>42522</v>
      </c>
      <c r="J22" s="114">
        <v>0</v>
      </c>
    </row>
    <row r="23" spans="1:10" s="6" customFormat="1" ht="38.25" x14ac:dyDescent="0.2">
      <c r="A23" s="127">
        <v>17</v>
      </c>
      <c r="B23" s="104" t="s">
        <v>902</v>
      </c>
      <c r="C23" s="38"/>
      <c r="D23" s="101"/>
      <c r="E23" s="104" t="s">
        <v>4208</v>
      </c>
      <c r="F23" s="114">
        <v>88200</v>
      </c>
      <c r="G23" s="104" t="s">
        <v>903</v>
      </c>
      <c r="H23" s="40" t="s">
        <v>904</v>
      </c>
      <c r="I23" s="115">
        <v>42522</v>
      </c>
      <c r="J23" s="114">
        <v>0</v>
      </c>
    </row>
    <row r="24" spans="1:10" s="6" customFormat="1" ht="38.25" x14ac:dyDescent="0.2">
      <c r="A24" s="127">
        <v>18</v>
      </c>
      <c r="B24" s="104" t="s">
        <v>916</v>
      </c>
      <c r="C24" s="101" t="s">
        <v>1342</v>
      </c>
      <c r="D24" s="101" t="s">
        <v>4238</v>
      </c>
      <c r="E24" s="104" t="s">
        <v>4208</v>
      </c>
      <c r="F24" s="114">
        <v>407131.57</v>
      </c>
      <c r="G24" s="104" t="s">
        <v>915</v>
      </c>
      <c r="H24" s="40" t="s">
        <v>45</v>
      </c>
      <c r="I24" s="115">
        <v>42528</v>
      </c>
      <c r="J24" s="114">
        <v>0</v>
      </c>
    </row>
    <row r="25" spans="1:10" s="6" customFormat="1" ht="38.25" x14ac:dyDescent="0.2">
      <c r="A25" s="127">
        <v>19</v>
      </c>
      <c r="B25" s="104" t="s">
        <v>925</v>
      </c>
      <c r="C25" s="101" t="s">
        <v>1342</v>
      </c>
      <c r="D25" s="101" t="s">
        <v>4238</v>
      </c>
      <c r="E25" s="104" t="s">
        <v>4208</v>
      </c>
      <c r="F25" s="114">
        <v>10306.799999999999</v>
      </c>
      <c r="G25" s="104" t="s">
        <v>926</v>
      </c>
      <c r="H25" s="40" t="s">
        <v>230</v>
      </c>
      <c r="I25" s="115">
        <v>42528</v>
      </c>
      <c r="J25" s="114">
        <v>0</v>
      </c>
    </row>
    <row r="26" spans="1:10" s="6" customFormat="1" ht="38.25" x14ac:dyDescent="0.2">
      <c r="A26" s="127">
        <v>20</v>
      </c>
      <c r="B26" s="104" t="s">
        <v>929</v>
      </c>
      <c r="C26" s="101" t="s">
        <v>1342</v>
      </c>
      <c r="D26" s="101" t="s">
        <v>4238</v>
      </c>
      <c r="E26" s="104" t="s">
        <v>4208</v>
      </c>
      <c r="F26" s="114">
        <v>21145.75</v>
      </c>
      <c r="G26" s="104" t="s">
        <v>930</v>
      </c>
      <c r="H26" s="40" t="s">
        <v>78</v>
      </c>
      <c r="I26" s="115">
        <v>42528</v>
      </c>
      <c r="J26" s="114">
        <v>0</v>
      </c>
    </row>
    <row r="27" spans="1:10" s="6" customFormat="1" ht="38.25" x14ac:dyDescent="0.2">
      <c r="A27" s="127">
        <v>21</v>
      </c>
      <c r="B27" s="104" t="s">
        <v>934</v>
      </c>
      <c r="C27" s="101" t="s">
        <v>1342</v>
      </c>
      <c r="D27" s="101" t="s">
        <v>4238</v>
      </c>
      <c r="E27" s="104" t="s">
        <v>4208</v>
      </c>
      <c r="F27" s="114">
        <v>297262.5</v>
      </c>
      <c r="G27" s="104" t="s">
        <v>935</v>
      </c>
      <c r="H27" s="40" t="s">
        <v>931</v>
      </c>
      <c r="I27" s="115">
        <v>42528</v>
      </c>
      <c r="J27" s="114">
        <v>0</v>
      </c>
    </row>
    <row r="28" spans="1:10" s="6" customFormat="1" ht="38.25" x14ac:dyDescent="0.2">
      <c r="A28" s="127">
        <v>22</v>
      </c>
      <c r="B28" s="104" t="s">
        <v>936</v>
      </c>
      <c r="C28" s="101" t="s">
        <v>1342</v>
      </c>
      <c r="D28" s="101" t="s">
        <v>4238</v>
      </c>
      <c r="E28" s="104" t="s">
        <v>4208</v>
      </c>
      <c r="F28" s="114">
        <v>13750</v>
      </c>
      <c r="G28" s="104" t="s">
        <v>937</v>
      </c>
      <c r="H28" s="40" t="s">
        <v>724</v>
      </c>
      <c r="I28" s="115">
        <v>42528</v>
      </c>
      <c r="J28" s="114">
        <v>0</v>
      </c>
    </row>
    <row r="29" spans="1:10" s="6" customFormat="1" ht="38.25" x14ac:dyDescent="0.2">
      <c r="A29" s="127">
        <v>23</v>
      </c>
      <c r="B29" s="104" t="s">
        <v>966</v>
      </c>
      <c r="C29" s="101" t="s">
        <v>1342</v>
      </c>
      <c r="D29" s="101" t="s">
        <v>4238</v>
      </c>
      <c r="E29" s="104" t="s">
        <v>4208</v>
      </c>
      <c r="F29" s="114">
        <v>87.5</v>
      </c>
      <c r="G29" s="104" t="s">
        <v>967</v>
      </c>
      <c r="H29" s="40" t="s">
        <v>146</v>
      </c>
      <c r="I29" s="115">
        <v>42528</v>
      </c>
      <c r="J29" s="114">
        <v>0</v>
      </c>
    </row>
    <row r="30" spans="1:10" s="6" customFormat="1" ht="38.25" x14ac:dyDescent="0.2">
      <c r="A30" s="127">
        <v>24</v>
      </c>
      <c r="B30" s="104" t="s">
        <v>980</v>
      </c>
      <c r="C30" s="38"/>
      <c r="D30" s="38"/>
      <c r="E30" s="104" t="s">
        <v>4208</v>
      </c>
      <c r="F30" s="114">
        <v>3253180</v>
      </c>
      <c r="G30" s="104" t="s">
        <v>981</v>
      </c>
      <c r="H30" s="40" t="s">
        <v>146</v>
      </c>
      <c r="I30" s="115">
        <v>42522</v>
      </c>
      <c r="J30" s="114">
        <v>0</v>
      </c>
    </row>
    <row r="31" spans="1:10" s="6" customFormat="1" ht="38.25" x14ac:dyDescent="0.2">
      <c r="A31" s="127">
        <v>25</v>
      </c>
      <c r="B31" s="104" t="s">
        <v>986</v>
      </c>
      <c r="C31" s="131" t="s">
        <v>1342</v>
      </c>
      <c r="D31" s="101" t="s">
        <v>4238</v>
      </c>
      <c r="E31" s="104" t="s">
        <v>4208</v>
      </c>
      <c r="F31" s="114">
        <v>317911.59999999998</v>
      </c>
      <c r="G31" s="104" t="s">
        <v>987</v>
      </c>
      <c r="H31" s="40" t="s">
        <v>947</v>
      </c>
      <c r="I31" s="115">
        <v>42528</v>
      </c>
      <c r="J31" s="114">
        <v>0</v>
      </c>
    </row>
    <row r="32" spans="1:10" s="6" customFormat="1" ht="38.25" x14ac:dyDescent="0.2">
      <c r="A32" s="127">
        <v>26</v>
      </c>
      <c r="B32" s="104" t="s">
        <v>1012</v>
      </c>
      <c r="C32" s="118"/>
      <c r="D32" s="101"/>
      <c r="E32" s="104" t="s">
        <v>4208</v>
      </c>
      <c r="F32" s="114">
        <v>488825.4</v>
      </c>
      <c r="G32" s="104" t="s">
        <v>1014</v>
      </c>
      <c r="H32" s="40" t="s">
        <v>1013</v>
      </c>
      <c r="I32" s="115">
        <v>42558</v>
      </c>
      <c r="J32" s="114">
        <v>140996.18</v>
      </c>
    </row>
    <row r="33" spans="1:11" s="6" customFormat="1" ht="38.25" x14ac:dyDescent="0.2">
      <c r="A33" s="127">
        <v>27</v>
      </c>
      <c r="B33" s="104" t="s">
        <v>1024</v>
      </c>
      <c r="C33" s="118"/>
      <c r="D33" s="101"/>
      <c r="E33" s="104" t="s">
        <v>4208</v>
      </c>
      <c r="F33" s="114">
        <v>741700</v>
      </c>
      <c r="G33" s="29" t="s">
        <v>1006</v>
      </c>
      <c r="H33" s="40" t="s">
        <v>1005</v>
      </c>
      <c r="I33" s="115">
        <v>42558</v>
      </c>
      <c r="J33" s="114">
        <v>201763.38</v>
      </c>
    </row>
    <row r="34" spans="1:11" s="6" customFormat="1" ht="38.25" x14ac:dyDescent="0.2">
      <c r="A34" s="127">
        <v>28</v>
      </c>
      <c r="B34" s="104" t="s">
        <v>1025</v>
      </c>
      <c r="C34" s="118"/>
      <c r="D34" s="101"/>
      <c r="E34" s="104" t="s">
        <v>4208</v>
      </c>
      <c r="F34" s="210">
        <v>523601.25</v>
      </c>
      <c r="G34" s="29" t="s">
        <v>1016</v>
      </c>
      <c r="H34" s="40" t="s">
        <v>1015</v>
      </c>
      <c r="I34" s="115">
        <v>42558</v>
      </c>
      <c r="J34" s="114">
        <v>199675.48</v>
      </c>
      <c r="K34" s="199"/>
    </row>
    <row r="35" spans="1:11" s="6" customFormat="1" ht="38.25" x14ac:dyDescent="0.2">
      <c r="A35" s="127">
        <v>29</v>
      </c>
      <c r="B35" s="104" t="s">
        <v>1026</v>
      </c>
      <c r="C35" s="118"/>
      <c r="D35" s="101"/>
      <c r="E35" s="104" t="s">
        <v>4208</v>
      </c>
      <c r="F35" s="210">
        <f>1531510.62</f>
        <v>1531510.62</v>
      </c>
      <c r="G35" s="29" t="s">
        <v>1017</v>
      </c>
      <c r="H35" s="40" t="s">
        <v>1015</v>
      </c>
      <c r="I35" s="115">
        <v>42558</v>
      </c>
      <c r="J35" s="114">
        <v>450577.87</v>
      </c>
      <c r="K35" s="199"/>
    </row>
    <row r="36" spans="1:11" s="6" customFormat="1" ht="38.25" x14ac:dyDescent="0.2">
      <c r="A36" s="127">
        <v>30</v>
      </c>
      <c r="B36" s="104" t="s">
        <v>1027</v>
      </c>
      <c r="C36" s="118"/>
      <c r="D36" s="101"/>
      <c r="E36" s="104" t="s">
        <v>4208</v>
      </c>
      <c r="F36" s="112">
        <f>347170+92750+109980</f>
        <v>549900</v>
      </c>
      <c r="G36" s="29" t="s">
        <v>1019</v>
      </c>
      <c r="H36" s="40" t="s">
        <v>1018</v>
      </c>
      <c r="I36" s="115">
        <v>42558</v>
      </c>
      <c r="J36" s="114">
        <v>130694.37</v>
      </c>
    </row>
    <row r="37" spans="1:11" s="6" customFormat="1" ht="38.25" x14ac:dyDescent="0.2">
      <c r="A37" s="127">
        <v>31</v>
      </c>
      <c r="B37" s="104" t="s">
        <v>1023</v>
      </c>
      <c r="C37" s="118"/>
      <c r="D37" s="101"/>
      <c r="E37" s="104" t="s">
        <v>4208</v>
      </c>
      <c r="F37" s="112">
        <v>42007.5</v>
      </c>
      <c r="G37" s="29" t="s">
        <v>1022</v>
      </c>
      <c r="H37" s="40" t="s">
        <v>1020</v>
      </c>
      <c r="I37" s="115">
        <v>42558</v>
      </c>
      <c r="J37" s="114">
        <v>17385.75</v>
      </c>
    </row>
    <row r="38" spans="1:11" s="6" customFormat="1" ht="38.25" x14ac:dyDescent="0.2">
      <c r="A38" s="127">
        <v>32</v>
      </c>
      <c r="B38" s="104" t="s">
        <v>1028</v>
      </c>
      <c r="C38" s="118"/>
      <c r="D38" s="101"/>
      <c r="E38" s="104" t="s">
        <v>4208</v>
      </c>
      <c r="F38" s="112">
        <v>271570</v>
      </c>
      <c r="G38" s="29" t="s">
        <v>1021</v>
      </c>
      <c r="H38" s="40" t="s">
        <v>1020</v>
      </c>
      <c r="I38" s="115">
        <v>42558</v>
      </c>
      <c r="J38" s="114">
        <v>70160.69</v>
      </c>
    </row>
    <row r="39" spans="1:11" s="6" customFormat="1" ht="38.25" x14ac:dyDescent="0.2">
      <c r="A39" s="127">
        <v>33</v>
      </c>
      <c r="B39" s="104" t="s">
        <v>1031</v>
      </c>
      <c r="C39" s="118"/>
      <c r="D39" s="118"/>
      <c r="E39" s="104" t="s">
        <v>4208</v>
      </c>
      <c r="F39" s="114">
        <v>226513.13</v>
      </c>
      <c r="G39" s="29" t="s">
        <v>1032</v>
      </c>
      <c r="H39" s="40" t="s">
        <v>1020</v>
      </c>
      <c r="I39" s="115">
        <v>42558</v>
      </c>
      <c r="J39" s="114">
        <v>55491.61</v>
      </c>
    </row>
    <row r="40" spans="1:11" s="6" customFormat="1" ht="38.25" x14ac:dyDescent="0.2">
      <c r="A40" s="127">
        <v>34</v>
      </c>
      <c r="B40" s="104" t="s">
        <v>1012</v>
      </c>
      <c r="C40" s="118"/>
      <c r="D40" s="101"/>
      <c r="E40" s="104" t="s">
        <v>4208</v>
      </c>
      <c r="F40" s="114">
        <v>233600</v>
      </c>
      <c r="G40" s="29" t="s">
        <v>1030</v>
      </c>
      <c r="H40" s="40" t="s">
        <v>1029</v>
      </c>
      <c r="I40" s="115">
        <v>42558</v>
      </c>
      <c r="J40" s="114">
        <v>58078.25</v>
      </c>
    </row>
    <row r="41" spans="1:11" s="6" customFormat="1" ht="38.25" x14ac:dyDescent="0.2">
      <c r="A41" s="127">
        <v>35</v>
      </c>
      <c r="B41" s="104" t="s">
        <v>1038</v>
      </c>
      <c r="C41" s="38"/>
      <c r="D41" s="101"/>
      <c r="E41" s="104" t="s">
        <v>4208</v>
      </c>
      <c r="F41" s="114">
        <v>646780</v>
      </c>
      <c r="G41" s="29" t="s">
        <v>1039</v>
      </c>
      <c r="H41" s="40" t="s">
        <v>947</v>
      </c>
      <c r="I41" s="115">
        <v>42522</v>
      </c>
      <c r="J41" s="114">
        <v>0</v>
      </c>
    </row>
    <row r="42" spans="1:11" s="6" customFormat="1" ht="38.25" x14ac:dyDescent="0.2">
      <c r="A42" s="127">
        <v>36</v>
      </c>
      <c r="B42" s="104" t="s">
        <v>1073</v>
      </c>
      <c r="C42" s="118"/>
      <c r="D42" s="101"/>
      <c r="E42" s="104" t="s">
        <v>4208</v>
      </c>
      <c r="F42" s="114">
        <f>220312.5+11875+84168.75+127312.5+192125+33300+42175</f>
        <v>711268.75</v>
      </c>
      <c r="G42" s="29" t="s">
        <v>1074</v>
      </c>
      <c r="H42" s="40" t="s">
        <v>1075</v>
      </c>
      <c r="I42" s="115">
        <v>42558</v>
      </c>
      <c r="J42" s="114">
        <v>201326.36</v>
      </c>
    </row>
    <row r="43" spans="1:11" s="6" customFormat="1" ht="38.25" x14ac:dyDescent="0.2">
      <c r="A43" s="127">
        <v>37</v>
      </c>
      <c r="B43" s="104" t="s">
        <v>1088</v>
      </c>
      <c r="C43" s="118"/>
      <c r="D43" s="101"/>
      <c r="E43" s="104" t="s">
        <v>4208</v>
      </c>
      <c r="F43" s="114">
        <v>2034788.25</v>
      </c>
      <c r="G43" s="29" t="s">
        <v>1090</v>
      </c>
      <c r="H43" s="40" t="s">
        <v>1089</v>
      </c>
      <c r="I43" s="115">
        <v>42558</v>
      </c>
      <c r="J43" s="114">
        <v>624254.09</v>
      </c>
    </row>
    <row r="44" spans="1:11" s="6" customFormat="1" ht="38.25" x14ac:dyDescent="0.2">
      <c r="A44" s="127">
        <v>38</v>
      </c>
      <c r="B44" s="104" t="s">
        <v>1012</v>
      </c>
      <c r="C44" s="118"/>
      <c r="D44" s="101"/>
      <c r="E44" s="104" t="s">
        <v>4208</v>
      </c>
      <c r="F44" s="114">
        <f>981440*1.25</f>
        <v>1226800</v>
      </c>
      <c r="G44" s="29" t="s">
        <v>1091</v>
      </c>
      <c r="H44" s="40" t="s">
        <v>1089</v>
      </c>
      <c r="I44" s="115">
        <v>42558</v>
      </c>
      <c r="J44" s="114">
        <v>358453.8</v>
      </c>
    </row>
    <row r="45" spans="1:11" s="6" customFormat="1" ht="38.25" x14ac:dyDescent="0.2">
      <c r="A45" s="127">
        <v>39</v>
      </c>
      <c r="B45" s="104" t="s">
        <v>1092</v>
      </c>
      <c r="C45" s="118"/>
      <c r="D45" s="101"/>
      <c r="E45" s="104" t="s">
        <v>4208</v>
      </c>
      <c r="F45" s="114">
        <v>478996.25</v>
      </c>
      <c r="G45" s="29" t="s">
        <v>1093</v>
      </c>
      <c r="H45" s="40" t="s">
        <v>1089</v>
      </c>
      <c r="I45" s="115">
        <v>42558</v>
      </c>
      <c r="J45" s="114">
        <v>119471.86</v>
      </c>
    </row>
    <row r="46" spans="1:11" s="6" customFormat="1" ht="38.25" x14ac:dyDescent="0.2">
      <c r="A46" s="127">
        <v>40</v>
      </c>
      <c r="B46" s="104" t="s">
        <v>1094</v>
      </c>
      <c r="C46" s="118"/>
      <c r="D46" s="101"/>
      <c r="E46" s="104" t="s">
        <v>4208</v>
      </c>
      <c r="F46" s="114">
        <f>(93834.75+2704)*1.25</f>
        <v>120673.4375</v>
      </c>
      <c r="G46" s="29" t="s">
        <v>1095</v>
      </c>
      <c r="H46" s="40" t="s">
        <v>1089</v>
      </c>
      <c r="I46" s="115">
        <v>42558</v>
      </c>
      <c r="J46" s="114">
        <v>50633.55</v>
      </c>
    </row>
    <row r="47" spans="1:11" s="6" customFormat="1" ht="38.25" x14ac:dyDescent="0.2">
      <c r="A47" s="127">
        <v>41</v>
      </c>
      <c r="B47" s="104" t="s">
        <v>1096</v>
      </c>
      <c r="C47" s="118"/>
      <c r="D47" s="101"/>
      <c r="E47" s="104" t="s">
        <v>4208</v>
      </c>
      <c r="F47" s="114">
        <f>(79875+108978+67700+61188.8+8206+184424.6+86051+19998.5+44230+3008.1+10552+18872.5+6811.3+34629.5+3900)*1.25</f>
        <v>923031.625</v>
      </c>
      <c r="G47" s="29" t="s">
        <v>1097</v>
      </c>
      <c r="H47" s="40" t="s">
        <v>1089</v>
      </c>
      <c r="I47" s="115">
        <v>42558</v>
      </c>
      <c r="J47" s="114">
        <v>234220.17</v>
      </c>
    </row>
    <row r="48" spans="1:11" s="6" customFormat="1" ht="38.25" x14ac:dyDescent="0.2">
      <c r="A48" s="127">
        <v>42</v>
      </c>
      <c r="B48" s="104" t="s">
        <v>1212</v>
      </c>
      <c r="C48" s="101" t="s">
        <v>1342</v>
      </c>
      <c r="D48" s="101" t="s">
        <v>4238</v>
      </c>
      <c r="E48" s="104" t="s">
        <v>4208</v>
      </c>
      <c r="F48" s="114">
        <v>216075</v>
      </c>
      <c r="G48" s="29" t="s">
        <v>1213</v>
      </c>
      <c r="H48" s="40" t="s">
        <v>1214</v>
      </c>
      <c r="I48" s="115">
        <v>42571</v>
      </c>
      <c r="J48" s="114">
        <v>0</v>
      </c>
    </row>
    <row r="49" spans="1:11" s="6" customFormat="1" ht="38.25" x14ac:dyDescent="0.2">
      <c r="A49" s="127">
        <v>43</v>
      </c>
      <c r="B49" s="104" t="s">
        <v>1215</v>
      </c>
      <c r="C49" s="101" t="s">
        <v>1342</v>
      </c>
      <c r="D49" s="101" t="s">
        <v>4238</v>
      </c>
      <c r="E49" s="104" t="s">
        <v>4208</v>
      </c>
      <c r="F49" s="114">
        <v>31612.5</v>
      </c>
      <c r="G49" s="29" t="s">
        <v>1216</v>
      </c>
      <c r="H49" s="40" t="s">
        <v>78</v>
      </c>
      <c r="I49" s="115">
        <v>42571</v>
      </c>
      <c r="J49" s="114">
        <v>0</v>
      </c>
    </row>
    <row r="50" spans="1:11" s="6" customFormat="1" ht="38.25" x14ac:dyDescent="0.2">
      <c r="A50" s="127">
        <v>44</v>
      </c>
      <c r="B50" s="104" t="s">
        <v>1225</v>
      </c>
      <c r="C50" s="38"/>
      <c r="D50" s="38"/>
      <c r="E50" s="104" t="s">
        <v>4208</v>
      </c>
      <c r="F50" s="114">
        <v>485262.5</v>
      </c>
      <c r="G50" s="29" t="s">
        <v>1226</v>
      </c>
      <c r="H50" s="40" t="s">
        <v>578</v>
      </c>
      <c r="I50" s="115">
        <v>42571</v>
      </c>
      <c r="J50" s="114">
        <v>0</v>
      </c>
    </row>
    <row r="51" spans="1:11" s="6" customFormat="1" ht="38.25" x14ac:dyDescent="0.2">
      <c r="A51" s="127">
        <v>45</v>
      </c>
      <c r="B51" s="104" t="s">
        <v>1227</v>
      </c>
      <c r="C51" s="38"/>
      <c r="D51" s="38"/>
      <c r="E51" s="104" t="s">
        <v>4208</v>
      </c>
      <c r="F51" s="114">
        <v>400000</v>
      </c>
      <c r="G51" s="29" t="s">
        <v>1229</v>
      </c>
      <c r="H51" s="40" t="s">
        <v>1228</v>
      </c>
      <c r="I51" s="115">
        <v>42576</v>
      </c>
      <c r="J51" s="114">
        <v>0</v>
      </c>
    </row>
    <row r="52" spans="1:11" s="6" customFormat="1" ht="38.25" x14ac:dyDescent="0.2">
      <c r="A52" s="127">
        <v>46</v>
      </c>
      <c r="B52" s="136" t="s">
        <v>1234</v>
      </c>
      <c r="C52" s="137"/>
      <c r="D52" s="137"/>
      <c r="E52" s="104" t="s">
        <v>4208</v>
      </c>
      <c r="F52" s="129">
        <v>3525067.35</v>
      </c>
      <c r="G52" s="36" t="s">
        <v>1235</v>
      </c>
      <c r="H52" s="128" t="s">
        <v>1236</v>
      </c>
      <c r="I52" s="138">
        <v>42574</v>
      </c>
      <c r="J52" s="129">
        <v>0</v>
      </c>
    </row>
    <row r="53" spans="1:11" s="6" customFormat="1" ht="38.25" x14ac:dyDescent="0.2">
      <c r="A53" s="127">
        <v>47</v>
      </c>
      <c r="B53" s="104" t="s">
        <v>1259</v>
      </c>
      <c r="C53" s="110"/>
      <c r="D53" s="110"/>
      <c r="E53" s="104" t="s">
        <v>4208</v>
      </c>
      <c r="F53" s="119">
        <v>6373871.5</v>
      </c>
      <c r="G53" s="36" t="s">
        <v>1260</v>
      </c>
      <c r="H53" s="40" t="s">
        <v>78</v>
      </c>
      <c r="I53" s="138">
        <v>42585</v>
      </c>
      <c r="J53" s="129">
        <v>0</v>
      </c>
      <c r="K53" s="39"/>
    </row>
    <row r="54" spans="1:11" s="6" customFormat="1" ht="38.25" x14ac:dyDescent="0.2">
      <c r="A54" s="127">
        <v>48</v>
      </c>
      <c r="B54" s="104" t="s">
        <v>1261</v>
      </c>
      <c r="C54" s="110"/>
      <c r="D54" s="110"/>
      <c r="E54" s="104" t="s">
        <v>4208</v>
      </c>
      <c r="F54" s="119">
        <v>2219700</v>
      </c>
      <c r="G54" s="36" t="s">
        <v>1262</v>
      </c>
      <c r="H54" s="40" t="s">
        <v>1135</v>
      </c>
      <c r="I54" s="138">
        <v>42585</v>
      </c>
      <c r="J54" s="129">
        <v>0</v>
      </c>
      <c r="K54" s="39"/>
    </row>
    <row r="55" spans="1:11" s="6" customFormat="1" ht="38.25" x14ac:dyDescent="0.2">
      <c r="A55" s="127">
        <v>49</v>
      </c>
      <c r="B55" s="104" t="s">
        <v>1263</v>
      </c>
      <c r="C55" s="110"/>
      <c r="D55" s="110"/>
      <c r="E55" s="104" t="s">
        <v>4208</v>
      </c>
      <c r="F55" s="119">
        <v>4519524</v>
      </c>
      <c r="G55" s="36" t="s">
        <v>1264</v>
      </c>
      <c r="H55" s="40" t="s">
        <v>885</v>
      </c>
      <c r="I55" s="138">
        <v>42585</v>
      </c>
      <c r="J55" s="129">
        <v>0</v>
      </c>
      <c r="K55" s="39"/>
    </row>
    <row r="56" spans="1:11" s="6" customFormat="1" ht="38.25" x14ac:dyDescent="0.2">
      <c r="A56" s="127">
        <v>50</v>
      </c>
      <c r="B56" s="104" t="s">
        <v>1265</v>
      </c>
      <c r="C56" s="110"/>
      <c r="D56" s="110"/>
      <c r="E56" s="104" t="s">
        <v>4208</v>
      </c>
      <c r="F56" s="119">
        <v>2838665</v>
      </c>
      <c r="G56" s="36" t="s">
        <v>1266</v>
      </c>
      <c r="H56" s="40" t="s">
        <v>91</v>
      </c>
      <c r="I56" s="138">
        <v>42585</v>
      </c>
      <c r="J56" s="129">
        <v>0</v>
      </c>
      <c r="K56" s="39"/>
    </row>
    <row r="57" spans="1:11" s="6" customFormat="1" ht="38.25" x14ac:dyDescent="0.2">
      <c r="A57" s="127">
        <v>51</v>
      </c>
      <c r="B57" s="104" t="s">
        <v>1267</v>
      </c>
      <c r="C57" s="110"/>
      <c r="D57" s="110"/>
      <c r="E57" s="104" t="s">
        <v>4208</v>
      </c>
      <c r="F57" s="119">
        <v>1043987.5</v>
      </c>
      <c r="G57" s="36" t="s">
        <v>1268</v>
      </c>
      <c r="H57" s="40" t="s">
        <v>211</v>
      </c>
      <c r="I57" s="138">
        <v>42585</v>
      </c>
      <c r="J57" s="129">
        <v>0</v>
      </c>
      <c r="K57" s="39"/>
    </row>
    <row r="58" spans="1:11" s="6" customFormat="1" ht="38.25" x14ac:dyDescent="0.2">
      <c r="A58" s="127">
        <v>52</v>
      </c>
      <c r="B58" s="104" t="s">
        <v>1147</v>
      </c>
      <c r="C58" s="110"/>
      <c r="D58" s="110"/>
      <c r="E58" s="104" t="s">
        <v>4208</v>
      </c>
      <c r="F58" s="119">
        <v>708750</v>
      </c>
      <c r="G58" s="29" t="s">
        <v>1148</v>
      </c>
      <c r="H58" s="40" t="s">
        <v>761</v>
      </c>
      <c r="I58" s="115">
        <v>42585</v>
      </c>
      <c r="J58" s="114">
        <v>0</v>
      </c>
      <c r="K58" s="39"/>
    </row>
    <row r="59" spans="1:11" s="6" customFormat="1" ht="38.25" x14ac:dyDescent="0.2">
      <c r="A59" s="127">
        <v>53</v>
      </c>
      <c r="B59" s="104" t="s">
        <v>1269</v>
      </c>
      <c r="C59" s="110"/>
      <c r="D59" s="110"/>
      <c r="E59" s="104" t="s">
        <v>4208</v>
      </c>
      <c r="F59" s="119">
        <f>1110527.5+2570715</f>
        <v>3681242.5</v>
      </c>
      <c r="G59" s="36" t="s">
        <v>1270</v>
      </c>
      <c r="H59" s="40" t="s">
        <v>83</v>
      </c>
      <c r="I59" s="138">
        <v>42585</v>
      </c>
      <c r="J59" s="129">
        <v>0</v>
      </c>
      <c r="K59" s="39"/>
    </row>
    <row r="60" spans="1:11" s="6" customFormat="1" ht="38.25" x14ac:dyDescent="0.2">
      <c r="A60" s="127">
        <v>54</v>
      </c>
      <c r="B60" s="136" t="s">
        <v>1271</v>
      </c>
      <c r="C60" s="110"/>
      <c r="D60" s="110"/>
      <c r="E60" s="104" t="s">
        <v>4208</v>
      </c>
      <c r="F60" s="211">
        <v>1564290</v>
      </c>
      <c r="G60" s="36" t="s">
        <v>1272</v>
      </c>
      <c r="H60" s="128" t="s">
        <v>1273</v>
      </c>
      <c r="I60" s="138">
        <v>42585</v>
      </c>
      <c r="J60" s="129">
        <v>0</v>
      </c>
      <c r="K60" s="39"/>
    </row>
    <row r="61" spans="1:11" s="6" customFormat="1" ht="38.25" x14ac:dyDescent="0.2">
      <c r="A61" s="127">
        <v>55</v>
      </c>
      <c r="B61" s="104" t="s">
        <v>1276</v>
      </c>
      <c r="C61" s="110"/>
      <c r="D61" s="110"/>
      <c r="E61" s="104" t="s">
        <v>4208</v>
      </c>
      <c r="F61" s="119">
        <f>868533.75+336553.04</f>
        <v>1205086.79</v>
      </c>
      <c r="G61" s="139" t="s">
        <v>1277</v>
      </c>
      <c r="H61" s="40" t="s">
        <v>480</v>
      </c>
      <c r="I61" s="115">
        <v>42585</v>
      </c>
      <c r="J61" s="114">
        <v>0</v>
      </c>
      <c r="K61" s="39"/>
    </row>
    <row r="62" spans="1:11" s="6" customFormat="1" ht="38.25" x14ac:dyDescent="0.2">
      <c r="A62" s="127">
        <v>56</v>
      </c>
      <c r="B62" s="41" t="s">
        <v>1274</v>
      </c>
      <c r="C62" s="110"/>
      <c r="D62" s="110"/>
      <c r="E62" s="104" t="s">
        <v>4208</v>
      </c>
      <c r="F62" s="212">
        <v>119150</v>
      </c>
      <c r="G62" s="140" t="s">
        <v>1275</v>
      </c>
      <c r="H62" s="141" t="s">
        <v>947</v>
      </c>
      <c r="I62" s="142">
        <v>42585</v>
      </c>
      <c r="J62" s="143">
        <v>0</v>
      </c>
      <c r="K62" s="39"/>
    </row>
    <row r="63" spans="1:11" s="6" customFormat="1" ht="38.25" x14ac:dyDescent="0.2">
      <c r="A63" s="127">
        <v>57</v>
      </c>
      <c r="B63" s="136" t="s">
        <v>1206</v>
      </c>
      <c r="C63" s="110"/>
      <c r="D63" s="110"/>
      <c r="E63" s="104" t="s">
        <v>4208</v>
      </c>
      <c r="F63" s="211">
        <v>429036</v>
      </c>
      <c r="G63" s="36" t="s">
        <v>1207</v>
      </c>
      <c r="H63" s="128" t="s">
        <v>904</v>
      </c>
      <c r="I63" s="138">
        <v>42585</v>
      </c>
      <c r="J63" s="129">
        <v>0</v>
      </c>
      <c r="K63" s="39"/>
    </row>
    <row r="64" spans="1:11" s="6" customFormat="1" ht="38.25" x14ac:dyDescent="0.2">
      <c r="A64" s="127">
        <v>58</v>
      </c>
      <c r="B64" s="136" t="s">
        <v>1278</v>
      </c>
      <c r="C64" s="110"/>
      <c r="D64" s="110"/>
      <c r="E64" s="104" t="s">
        <v>4208</v>
      </c>
      <c r="F64" s="119">
        <v>436462.5</v>
      </c>
      <c r="G64" s="36" t="s">
        <v>1279</v>
      </c>
      <c r="H64" s="40" t="s">
        <v>1280</v>
      </c>
      <c r="I64" s="138">
        <v>42585</v>
      </c>
      <c r="J64" s="129">
        <v>0</v>
      </c>
      <c r="K64" s="39"/>
    </row>
    <row r="65" spans="1:13" s="6" customFormat="1" ht="38.25" x14ac:dyDescent="0.2">
      <c r="A65" s="127">
        <v>59</v>
      </c>
      <c r="B65" s="136" t="s">
        <v>1310</v>
      </c>
      <c r="C65" s="110"/>
      <c r="D65" s="110"/>
      <c r="E65" s="104" t="s">
        <v>4208</v>
      </c>
      <c r="F65" s="52">
        <v>1344</v>
      </c>
      <c r="G65" s="36" t="s">
        <v>1312</v>
      </c>
      <c r="H65" s="51" t="s">
        <v>1311</v>
      </c>
      <c r="I65" s="138">
        <v>42585</v>
      </c>
      <c r="J65" s="129">
        <v>0</v>
      </c>
      <c r="K65" s="209"/>
      <c r="L65" s="201"/>
      <c r="M65" s="201"/>
    </row>
    <row r="66" spans="1:13" s="6" customFormat="1" ht="38.25" x14ac:dyDescent="0.2">
      <c r="A66" s="127">
        <v>60</v>
      </c>
      <c r="B66" s="104" t="s">
        <v>1288</v>
      </c>
      <c r="C66" s="110"/>
      <c r="D66" s="110"/>
      <c r="E66" s="104" t="s">
        <v>4208</v>
      </c>
      <c r="F66" s="114">
        <f>293476.25+198136.25</f>
        <v>491612.5</v>
      </c>
      <c r="G66" s="36" t="s">
        <v>1289</v>
      </c>
      <c r="H66" s="40" t="s">
        <v>37</v>
      </c>
      <c r="I66" s="138">
        <v>42611</v>
      </c>
      <c r="J66" s="129">
        <v>0</v>
      </c>
    </row>
    <row r="67" spans="1:13" s="6" customFormat="1" ht="38.25" x14ac:dyDescent="0.2">
      <c r="A67" s="127">
        <v>61</v>
      </c>
      <c r="B67" s="104" t="s">
        <v>1395</v>
      </c>
      <c r="C67" s="117"/>
      <c r="D67" s="117"/>
      <c r="E67" s="104" t="s">
        <v>4208</v>
      </c>
      <c r="F67" s="119">
        <v>37657.379999999997</v>
      </c>
      <c r="G67" s="36" t="s">
        <v>1396</v>
      </c>
      <c r="H67" s="40" t="s">
        <v>4150</v>
      </c>
      <c r="I67" s="115">
        <v>42923</v>
      </c>
      <c r="J67" s="129">
        <v>0</v>
      </c>
      <c r="K67" s="39"/>
    </row>
    <row r="68" spans="1:13" s="6" customFormat="1" ht="38.25" x14ac:dyDescent="0.2">
      <c r="A68" s="127">
        <v>62</v>
      </c>
      <c r="B68" s="104" t="s">
        <v>1485</v>
      </c>
      <c r="C68" s="117"/>
      <c r="D68" s="117"/>
      <c r="E68" s="104" t="s">
        <v>4208</v>
      </c>
      <c r="F68" s="114">
        <f>69990*1.25+15500*1.25</f>
        <v>106862.5</v>
      </c>
      <c r="G68" s="36" t="s">
        <v>1486</v>
      </c>
      <c r="H68" s="40" t="s">
        <v>480</v>
      </c>
      <c r="I68" s="115">
        <v>42985</v>
      </c>
      <c r="J68" s="129">
        <v>0</v>
      </c>
    </row>
    <row r="69" spans="1:13" s="6" customFormat="1" ht="38.25" x14ac:dyDescent="0.2">
      <c r="A69" s="127">
        <v>63</v>
      </c>
      <c r="B69" s="104" t="s">
        <v>1521</v>
      </c>
      <c r="C69" s="40"/>
      <c r="D69" s="40"/>
      <c r="E69" s="104" t="s">
        <v>4208</v>
      </c>
      <c r="F69" s="114">
        <v>886187.5</v>
      </c>
      <c r="G69" s="36" t="s">
        <v>1522</v>
      </c>
      <c r="H69" s="40" t="s">
        <v>699</v>
      </c>
      <c r="I69" s="115">
        <v>42985</v>
      </c>
      <c r="J69" s="129">
        <v>0</v>
      </c>
    </row>
    <row r="70" spans="1:13" s="6" customFormat="1" ht="38.25" x14ac:dyDescent="0.2">
      <c r="A70" s="127">
        <v>64</v>
      </c>
      <c r="B70" s="104" t="s">
        <v>1584</v>
      </c>
      <c r="C70" s="40"/>
      <c r="D70" s="40"/>
      <c r="E70" s="104" t="s">
        <v>4208</v>
      </c>
      <c r="F70" s="114">
        <v>42269.61</v>
      </c>
      <c r="G70" s="36" t="s">
        <v>1585</v>
      </c>
      <c r="H70" s="40" t="s">
        <v>1202</v>
      </c>
      <c r="I70" s="115">
        <v>42985</v>
      </c>
      <c r="J70" s="129">
        <v>0</v>
      </c>
    </row>
    <row r="71" spans="1:13" s="6" customFormat="1" ht="38.25" x14ac:dyDescent="0.2">
      <c r="A71" s="127">
        <v>65</v>
      </c>
      <c r="B71" s="104" t="s">
        <v>1651</v>
      </c>
      <c r="C71" s="40"/>
      <c r="D71" s="40"/>
      <c r="E71" s="104" t="s">
        <v>4208</v>
      </c>
      <c r="F71" s="114">
        <v>33552.25</v>
      </c>
      <c r="G71" s="36" t="s">
        <v>1653</v>
      </c>
      <c r="H71" s="40" t="s">
        <v>1652</v>
      </c>
      <c r="I71" s="115">
        <v>42985</v>
      </c>
      <c r="J71" s="129">
        <v>0</v>
      </c>
    </row>
    <row r="72" spans="1:13" s="6" customFormat="1" ht="38.25" x14ac:dyDescent="0.2">
      <c r="A72" s="127">
        <v>66</v>
      </c>
      <c r="B72" s="104" t="s">
        <v>1737</v>
      </c>
      <c r="C72" s="40"/>
      <c r="D72" s="40"/>
      <c r="E72" s="104" t="s">
        <v>4208</v>
      </c>
      <c r="F72" s="114">
        <v>212553.38</v>
      </c>
      <c r="G72" s="36" t="s">
        <v>1738</v>
      </c>
      <c r="H72" s="40" t="s">
        <v>1739</v>
      </c>
      <c r="I72" s="115">
        <v>42985</v>
      </c>
      <c r="J72" s="129">
        <v>0</v>
      </c>
    </row>
    <row r="73" spans="1:13" s="6" customFormat="1" ht="38.25" x14ac:dyDescent="0.2">
      <c r="A73" s="127">
        <v>67</v>
      </c>
      <c r="B73" s="104" t="s">
        <v>1743</v>
      </c>
      <c r="C73" s="40"/>
      <c r="D73" s="40"/>
      <c r="E73" s="104" t="s">
        <v>4208</v>
      </c>
      <c r="F73" s="114">
        <f>11200*1.25</f>
        <v>14000</v>
      </c>
      <c r="G73" s="36" t="s">
        <v>1744</v>
      </c>
      <c r="H73" s="40" t="s">
        <v>1089</v>
      </c>
      <c r="I73" s="115">
        <v>42935</v>
      </c>
      <c r="J73" s="129">
        <v>14000</v>
      </c>
    </row>
    <row r="74" spans="1:13" s="6" customFormat="1" ht="38.25" x14ac:dyDescent="0.2">
      <c r="A74" s="127">
        <v>68</v>
      </c>
      <c r="B74" s="104" t="s">
        <v>1818</v>
      </c>
      <c r="C74" s="40" t="s">
        <v>1815</v>
      </c>
      <c r="D74" s="40" t="s">
        <v>4250</v>
      </c>
      <c r="E74" s="104" t="s">
        <v>4208</v>
      </c>
      <c r="F74" s="114">
        <f>23750*1.05</f>
        <v>24937.5</v>
      </c>
      <c r="G74" s="36" t="s">
        <v>1819</v>
      </c>
      <c r="H74" s="40" t="s">
        <v>45</v>
      </c>
      <c r="I74" s="115">
        <v>43006</v>
      </c>
      <c r="J74" s="129">
        <v>0</v>
      </c>
    </row>
    <row r="75" spans="1:13" s="6" customFormat="1" ht="38.25" x14ac:dyDescent="0.2">
      <c r="A75" s="127">
        <v>69</v>
      </c>
      <c r="B75" s="104" t="s">
        <v>1822</v>
      </c>
      <c r="C75" s="40" t="s">
        <v>1815</v>
      </c>
      <c r="D75" s="40" t="s">
        <v>4250</v>
      </c>
      <c r="E75" s="104" t="s">
        <v>4208</v>
      </c>
      <c r="F75" s="114">
        <v>304446.98</v>
      </c>
      <c r="G75" s="36" t="s">
        <v>1823</v>
      </c>
      <c r="H75" s="40" t="s">
        <v>218</v>
      </c>
      <c r="I75" s="115">
        <v>43006</v>
      </c>
      <c r="J75" s="129">
        <v>0</v>
      </c>
    </row>
    <row r="76" spans="1:13" s="6" customFormat="1" ht="38.25" x14ac:dyDescent="0.2">
      <c r="A76" s="127">
        <v>70</v>
      </c>
      <c r="B76" s="104" t="s">
        <v>1871</v>
      </c>
      <c r="C76" s="40"/>
      <c r="D76" s="40"/>
      <c r="E76" s="104" t="s">
        <v>4208</v>
      </c>
      <c r="F76" s="119">
        <f>119055.3</f>
        <v>119055.3</v>
      </c>
      <c r="G76" s="36" t="s">
        <v>1872</v>
      </c>
      <c r="H76" s="40" t="s">
        <v>78</v>
      </c>
      <c r="I76" s="115">
        <v>43369</v>
      </c>
      <c r="J76" s="129">
        <v>0</v>
      </c>
      <c r="K76" s="199"/>
    </row>
    <row r="77" spans="1:13" s="6" customFormat="1" ht="38.25" x14ac:dyDescent="0.2">
      <c r="A77" s="127">
        <v>71</v>
      </c>
      <c r="B77" s="104" t="s">
        <v>1873</v>
      </c>
      <c r="C77" s="40"/>
      <c r="D77" s="40"/>
      <c r="E77" s="104" t="s">
        <v>4208</v>
      </c>
      <c r="F77" s="114">
        <v>16334.85</v>
      </c>
      <c r="G77" s="36" t="s">
        <v>1874</v>
      </c>
      <c r="H77" s="40" t="s">
        <v>78</v>
      </c>
      <c r="I77" s="115">
        <v>43006</v>
      </c>
      <c r="J77" s="129">
        <v>0</v>
      </c>
    </row>
    <row r="78" spans="1:13" s="6" customFormat="1" ht="51" x14ac:dyDescent="0.2">
      <c r="A78" s="127">
        <v>72</v>
      </c>
      <c r="B78" s="104" t="s">
        <v>1958</v>
      </c>
      <c r="C78" s="40" t="s">
        <v>1634</v>
      </c>
      <c r="D78" s="40" t="s">
        <v>4238</v>
      </c>
      <c r="E78" s="104" t="s">
        <v>4208</v>
      </c>
      <c r="F78" s="114">
        <f>53944.8+116239.2+1177959.03+3442406.52+1125703.66+609470.4+415422</f>
        <v>6941145.6100000003</v>
      </c>
      <c r="G78" s="104" t="s">
        <v>1959</v>
      </c>
      <c r="H78" s="114" t="s">
        <v>480</v>
      </c>
      <c r="I78" s="104" t="s">
        <v>1960</v>
      </c>
      <c r="J78" s="129">
        <v>0</v>
      </c>
    </row>
    <row r="79" spans="1:13" s="6" customFormat="1" ht="51" x14ac:dyDescent="0.2">
      <c r="A79" s="127">
        <v>73</v>
      </c>
      <c r="B79" s="104" t="s">
        <v>1961</v>
      </c>
      <c r="C79" s="40" t="s">
        <v>1634</v>
      </c>
      <c r="D79" s="40" t="s">
        <v>4238</v>
      </c>
      <c r="E79" s="104" t="s">
        <v>4208</v>
      </c>
      <c r="F79" s="119">
        <f>53944.8+116239.2+1177959.03+3442406.52+1125703.66+609470.4+415422</f>
        <v>6941145.6100000003</v>
      </c>
      <c r="G79" s="104" t="s">
        <v>1970</v>
      </c>
      <c r="H79" s="114" t="s">
        <v>480</v>
      </c>
      <c r="I79" s="104" t="s">
        <v>1832</v>
      </c>
      <c r="J79" s="129">
        <v>0</v>
      </c>
      <c r="K79" s="199"/>
    </row>
    <row r="80" spans="1:13" s="6" customFormat="1" ht="38.25" x14ac:dyDescent="0.2">
      <c r="A80" s="127">
        <v>74</v>
      </c>
      <c r="B80" s="104" t="s">
        <v>1987</v>
      </c>
      <c r="C80" s="144"/>
      <c r="D80" s="144"/>
      <c r="E80" s="104" t="s">
        <v>4208</v>
      </c>
      <c r="F80" s="114">
        <v>4293.75</v>
      </c>
      <c r="G80" s="104" t="s">
        <v>1972</v>
      </c>
      <c r="H80" s="40" t="s">
        <v>1973</v>
      </c>
      <c r="I80" s="115" t="s">
        <v>1971</v>
      </c>
      <c r="J80" s="129">
        <v>143.13</v>
      </c>
    </row>
    <row r="81" spans="1:11" s="6" customFormat="1" ht="38.25" x14ac:dyDescent="0.2">
      <c r="A81" s="127">
        <v>75</v>
      </c>
      <c r="B81" s="104" t="s">
        <v>1974</v>
      </c>
      <c r="C81" s="40" t="s">
        <v>1815</v>
      </c>
      <c r="D81" s="40" t="s">
        <v>4239</v>
      </c>
      <c r="E81" s="104" t="s">
        <v>4208</v>
      </c>
      <c r="F81" s="114">
        <v>492052.12</v>
      </c>
      <c r="G81" s="104" t="s">
        <v>1975</v>
      </c>
      <c r="H81" s="40" t="s">
        <v>871</v>
      </c>
      <c r="I81" s="115">
        <v>43006</v>
      </c>
      <c r="J81" s="129">
        <v>0</v>
      </c>
    </row>
    <row r="82" spans="1:11" s="6" customFormat="1" ht="38.25" x14ac:dyDescent="0.2">
      <c r="A82" s="127">
        <v>76</v>
      </c>
      <c r="B82" s="104" t="s">
        <v>1976</v>
      </c>
      <c r="C82" s="40" t="s">
        <v>1815</v>
      </c>
      <c r="D82" s="40" t="s">
        <v>4239</v>
      </c>
      <c r="E82" s="104" t="s">
        <v>4208</v>
      </c>
      <c r="F82" s="119">
        <f>1148647.5+377811+195250+416500+333000+1210860+147840+647241+313881.75</f>
        <v>4791031.25</v>
      </c>
      <c r="G82" s="104" t="s">
        <v>1977</v>
      </c>
      <c r="H82" s="40" t="s">
        <v>871</v>
      </c>
      <c r="I82" s="115" t="s">
        <v>1805</v>
      </c>
      <c r="J82" s="129">
        <v>0</v>
      </c>
      <c r="K82" s="199"/>
    </row>
    <row r="83" spans="1:11" s="6" customFormat="1" ht="51" x14ac:dyDescent="0.2">
      <c r="A83" s="127">
        <v>77</v>
      </c>
      <c r="B83" s="104" t="s">
        <v>1980</v>
      </c>
      <c r="C83" s="40" t="s">
        <v>1815</v>
      </c>
      <c r="D83" s="40" t="s">
        <v>4239</v>
      </c>
      <c r="E83" s="104" t="s">
        <v>4208</v>
      </c>
      <c r="F83" s="114">
        <v>49500</v>
      </c>
      <c r="G83" s="104" t="s">
        <v>1979</v>
      </c>
      <c r="H83" s="40" t="s">
        <v>45</v>
      </c>
      <c r="I83" s="115" t="s">
        <v>1907</v>
      </c>
      <c r="J83" s="129">
        <v>1650</v>
      </c>
    </row>
    <row r="84" spans="1:11" s="6" customFormat="1" ht="51" x14ac:dyDescent="0.2">
      <c r="A84" s="127">
        <v>78</v>
      </c>
      <c r="B84" s="104" t="s">
        <v>1978</v>
      </c>
      <c r="C84" s="40" t="s">
        <v>1815</v>
      </c>
      <c r="D84" s="40" t="s">
        <v>4239</v>
      </c>
      <c r="E84" s="104" t="s">
        <v>4208</v>
      </c>
      <c r="F84" s="119">
        <v>288007.5</v>
      </c>
      <c r="G84" s="104" t="s">
        <v>1981</v>
      </c>
      <c r="H84" s="40" t="s">
        <v>45</v>
      </c>
      <c r="I84" s="115" t="s">
        <v>1982</v>
      </c>
      <c r="J84" s="129">
        <v>0</v>
      </c>
      <c r="K84" s="199"/>
    </row>
    <row r="85" spans="1:11" s="6" customFormat="1" ht="38.25" x14ac:dyDescent="0.2">
      <c r="A85" s="127">
        <v>79</v>
      </c>
      <c r="B85" s="104" t="s">
        <v>1988</v>
      </c>
      <c r="C85" s="40"/>
      <c r="D85" s="40"/>
      <c r="E85" s="104" t="s">
        <v>4208</v>
      </c>
      <c r="F85" s="114">
        <f>460000+590000+860028.5+285</f>
        <v>1910313.5</v>
      </c>
      <c r="G85" s="104" t="s">
        <v>1989</v>
      </c>
      <c r="H85" s="40" t="s">
        <v>1990</v>
      </c>
      <c r="I85" s="115" t="s">
        <v>1991</v>
      </c>
      <c r="J85" s="129">
        <v>0</v>
      </c>
    </row>
    <row r="86" spans="1:11" s="6" customFormat="1" ht="38.25" x14ac:dyDescent="0.2">
      <c r="A86" s="127">
        <v>80</v>
      </c>
      <c r="B86" s="104" t="s">
        <v>1992</v>
      </c>
      <c r="C86" s="40"/>
      <c r="D86" s="40"/>
      <c r="E86" s="104" t="s">
        <v>4208</v>
      </c>
      <c r="F86" s="114">
        <v>375000</v>
      </c>
      <c r="G86" s="104" t="s">
        <v>1993</v>
      </c>
      <c r="H86" s="40" t="s">
        <v>45</v>
      </c>
      <c r="I86" s="115" t="s">
        <v>1991</v>
      </c>
      <c r="J86" s="129">
        <v>0</v>
      </c>
    </row>
    <row r="87" spans="1:11" s="6" customFormat="1" ht="38.25" x14ac:dyDescent="0.2">
      <c r="A87" s="127">
        <v>81</v>
      </c>
      <c r="B87" s="104" t="s">
        <v>2033</v>
      </c>
      <c r="C87" s="40" t="s">
        <v>1815</v>
      </c>
      <c r="D87" s="40" t="s">
        <v>4239</v>
      </c>
      <c r="E87" s="104" t="s">
        <v>4208</v>
      </c>
      <c r="F87" s="114">
        <v>3888154.2</v>
      </c>
      <c r="G87" s="104" t="s">
        <v>2034</v>
      </c>
      <c r="H87" s="40" t="s">
        <v>211</v>
      </c>
      <c r="I87" s="115" t="s">
        <v>1805</v>
      </c>
      <c r="J87" s="129">
        <v>0</v>
      </c>
    </row>
    <row r="88" spans="1:11" s="6" customFormat="1" ht="38.25" x14ac:dyDescent="0.2">
      <c r="A88" s="127">
        <v>82</v>
      </c>
      <c r="B88" s="104" t="s">
        <v>2039</v>
      </c>
      <c r="C88" s="40"/>
      <c r="D88" s="40"/>
      <c r="E88" s="104" t="s">
        <v>4208</v>
      </c>
      <c r="F88" s="114">
        <v>256250</v>
      </c>
      <c r="G88" s="104" t="s">
        <v>2042</v>
      </c>
      <c r="H88" s="40" t="s">
        <v>2040</v>
      </c>
      <c r="I88" s="115" t="s">
        <v>2041</v>
      </c>
      <c r="J88" s="129">
        <v>0</v>
      </c>
    </row>
    <row r="89" spans="1:11" s="6" customFormat="1" ht="51" x14ac:dyDescent="0.2">
      <c r="A89" s="127">
        <v>83</v>
      </c>
      <c r="B89" s="104" t="s">
        <v>2043</v>
      </c>
      <c r="C89" s="40"/>
      <c r="D89" s="40"/>
      <c r="E89" s="104" t="s">
        <v>4208</v>
      </c>
      <c r="F89" s="114">
        <f>2480505.4+96190.5</f>
        <v>2576695.9</v>
      </c>
      <c r="G89" s="104" t="s">
        <v>2044</v>
      </c>
      <c r="H89" s="40" t="s">
        <v>78</v>
      </c>
      <c r="I89" s="115" t="s">
        <v>2045</v>
      </c>
      <c r="J89" s="129">
        <v>0</v>
      </c>
    </row>
    <row r="90" spans="1:11" s="6" customFormat="1" ht="51" x14ac:dyDescent="0.2">
      <c r="A90" s="127">
        <v>84</v>
      </c>
      <c r="B90" s="104" t="s">
        <v>2046</v>
      </c>
      <c r="C90" s="40"/>
      <c r="D90" s="40"/>
      <c r="E90" s="104" t="s">
        <v>4208</v>
      </c>
      <c r="F90" s="114">
        <f>803259.05+72292.5</f>
        <v>875551.55</v>
      </c>
      <c r="G90" s="104" t="s">
        <v>2047</v>
      </c>
      <c r="H90" s="40" t="s">
        <v>480</v>
      </c>
      <c r="I90" s="115" t="s">
        <v>2048</v>
      </c>
      <c r="J90" s="129">
        <v>0</v>
      </c>
    </row>
    <row r="91" spans="1:11" s="6" customFormat="1" ht="51" x14ac:dyDescent="0.2">
      <c r="A91" s="127">
        <v>85</v>
      </c>
      <c r="B91" s="104" t="s">
        <v>2049</v>
      </c>
      <c r="C91" s="40"/>
      <c r="D91" s="40"/>
      <c r="E91" s="104" t="s">
        <v>4208</v>
      </c>
      <c r="F91" s="114">
        <v>660812.25</v>
      </c>
      <c r="G91" s="104" t="s">
        <v>2050</v>
      </c>
      <c r="H91" s="40" t="s">
        <v>904</v>
      </c>
      <c r="I91" s="115" t="s">
        <v>2045</v>
      </c>
      <c r="J91" s="129">
        <v>0</v>
      </c>
    </row>
    <row r="92" spans="1:11" s="6" customFormat="1" ht="51" x14ac:dyDescent="0.2">
      <c r="A92" s="127">
        <v>86</v>
      </c>
      <c r="B92" s="104" t="s">
        <v>2051</v>
      </c>
      <c r="C92" s="40"/>
      <c r="D92" s="40"/>
      <c r="E92" s="104" t="s">
        <v>4208</v>
      </c>
      <c r="F92" s="114">
        <v>531331.5</v>
      </c>
      <c r="G92" s="104" t="s">
        <v>2052</v>
      </c>
      <c r="H92" s="40" t="s">
        <v>1280</v>
      </c>
      <c r="I92" s="115" t="s">
        <v>2053</v>
      </c>
      <c r="J92" s="129">
        <v>0</v>
      </c>
    </row>
    <row r="93" spans="1:11" ht="51" x14ac:dyDescent="0.2">
      <c r="A93" s="127">
        <v>87</v>
      </c>
      <c r="B93" s="104" t="s">
        <v>2054</v>
      </c>
      <c r="C93" s="40" t="s">
        <v>1815</v>
      </c>
      <c r="D93" s="40" t="s">
        <v>4239</v>
      </c>
      <c r="E93" s="104" t="s">
        <v>4208</v>
      </c>
      <c r="F93" s="114">
        <v>7601704.0999999996</v>
      </c>
      <c r="G93" s="104" t="s">
        <v>4272</v>
      </c>
      <c r="H93" s="40" t="s">
        <v>78</v>
      </c>
      <c r="I93" s="115" t="s">
        <v>2021</v>
      </c>
      <c r="J93" s="129">
        <v>0</v>
      </c>
      <c r="K93" s="201"/>
    </row>
    <row r="94" spans="1:11" s="6" customFormat="1" ht="51" x14ac:dyDescent="0.2">
      <c r="A94" s="127">
        <v>88</v>
      </c>
      <c r="B94" s="104" t="s">
        <v>2055</v>
      </c>
      <c r="C94" s="40" t="s">
        <v>1815</v>
      </c>
      <c r="D94" s="40" t="s">
        <v>4239</v>
      </c>
      <c r="E94" s="104" t="s">
        <v>4208</v>
      </c>
      <c r="F94" s="114">
        <v>676831.05</v>
      </c>
      <c r="G94" s="104" t="s">
        <v>2056</v>
      </c>
      <c r="H94" s="40" t="s">
        <v>78</v>
      </c>
      <c r="I94" s="115" t="s">
        <v>2057</v>
      </c>
      <c r="J94" s="129">
        <v>0</v>
      </c>
    </row>
    <row r="95" spans="1:11" s="6" customFormat="1" ht="51" x14ac:dyDescent="0.2">
      <c r="A95" s="127">
        <v>89</v>
      </c>
      <c r="B95" s="104" t="s">
        <v>2058</v>
      </c>
      <c r="C95" s="40" t="s">
        <v>1815</v>
      </c>
      <c r="D95" s="40" t="s">
        <v>4239</v>
      </c>
      <c r="E95" s="104" t="s">
        <v>4208</v>
      </c>
      <c r="F95" s="114">
        <v>15500</v>
      </c>
      <c r="G95" s="104" t="s">
        <v>2059</v>
      </c>
      <c r="H95" s="40" t="s">
        <v>480</v>
      </c>
      <c r="I95" s="115" t="s">
        <v>1907</v>
      </c>
      <c r="J95" s="129">
        <v>0</v>
      </c>
    </row>
    <row r="96" spans="1:11" s="6" customFormat="1" ht="51" x14ac:dyDescent="0.2">
      <c r="A96" s="127">
        <v>90</v>
      </c>
      <c r="B96" s="104" t="s">
        <v>2060</v>
      </c>
      <c r="C96" s="40" t="s">
        <v>1815</v>
      </c>
      <c r="D96" s="40" t="s">
        <v>4239</v>
      </c>
      <c r="E96" s="104" t="s">
        <v>4208</v>
      </c>
      <c r="F96" s="114">
        <v>1251940</v>
      </c>
      <c r="G96" s="104" t="s">
        <v>2061</v>
      </c>
      <c r="H96" s="40" t="s">
        <v>78</v>
      </c>
      <c r="I96" s="115" t="s">
        <v>1907</v>
      </c>
      <c r="J96" s="129">
        <v>0</v>
      </c>
    </row>
    <row r="97" spans="1:11" s="6" customFormat="1" ht="51" x14ac:dyDescent="0.2">
      <c r="A97" s="127">
        <v>91</v>
      </c>
      <c r="B97" s="104" t="s">
        <v>2062</v>
      </c>
      <c r="C97" s="40" t="s">
        <v>1815</v>
      </c>
      <c r="D97" s="40" t="s">
        <v>4239</v>
      </c>
      <c r="E97" s="104" t="s">
        <v>4208</v>
      </c>
      <c r="F97" s="119">
        <f>4408162.5+44999.5+55000+52500+52500+50000+16250</f>
        <v>4679412</v>
      </c>
      <c r="G97" s="104" t="s">
        <v>2063</v>
      </c>
      <c r="H97" s="40" t="s">
        <v>78</v>
      </c>
      <c r="I97" s="115" t="s">
        <v>1982</v>
      </c>
      <c r="J97" s="129">
        <v>0</v>
      </c>
      <c r="K97" s="199"/>
    </row>
    <row r="98" spans="1:11" s="6" customFormat="1" ht="51" x14ac:dyDescent="0.2">
      <c r="A98" s="127">
        <v>92</v>
      </c>
      <c r="B98" s="104" t="s">
        <v>2064</v>
      </c>
      <c r="C98" s="40" t="s">
        <v>1815</v>
      </c>
      <c r="D98" s="40" t="s">
        <v>4239</v>
      </c>
      <c r="E98" s="104" t="s">
        <v>4208</v>
      </c>
      <c r="F98" s="114">
        <v>173987.5</v>
      </c>
      <c r="G98" s="104" t="s">
        <v>2065</v>
      </c>
      <c r="H98" s="40" t="s">
        <v>480</v>
      </c>
      <c r="I98" s="115" t="s">
        <v>1982</v>
      </c>
      <c r="J98" s="129">
        <v>0</v>
      </c>
    </row>
    <row r="99" spans="1:11" s="6" customFormat="1" ht="38.25" x14ac:dyDescent="0.2">
      <c r="A99" s="127">
        <v>93</v>
      </c>
      <c r="B99" s="104" t="s">
        <v>2086</v>
      </c>
      <c r="C99" s="40"/>
      <c r="D99" s="40"/>
      <c r="E99" s="104" t="s">
        <v>4208</v>
      </c>
      <c r="F99" s="114">
        <f>45600*1.25</f>
        <v>57000</v>
      </c>
      <c r="G99" s="104" t="s">
        <v>2087</v>
      </c>
      <c r="H99" s="40" t="s">
        <v>452</v>
      </c>
      <c r="I99" s="115" t="s">
        <v>2088</v>
      </c>
      <c r="J99" s="129">
        <v>0</v>
      </c>
    </row>
    <row r="100" spans="1:11" s="6" customFormat="1" ht="38.25" x14ac:dyDescent="0.2">
      <c r="A100" s="127">
        <v>94</v>
      </c>
      <c r="B100" s="104" t="s">
        <v>2089</v>
      </c>
      <c r="C100" s="40"/>
      <c r="D100" s="40"/>
      <c r="E100" s="104" t="s">
        <v>4208</v>
      </c>
      <c r="F100" s="114">
        <f>1736*1.25</f>
        <v>2170</v>
      </c>
      <c r="G100" s="104" t="s">
        <v>2090</v>
      </c>
      <c r="H100" s="40" t="s">
        <v>211</v>
      </c>
      <c r="I100" s="115" t="s">
        <v>2091</v>
      </c>
      <c r="J100" s="129">
        <v>0</v>
      </c>
    </row>
    <row r="101" spans="1:11" s="6" customFormat="1" ht="38.25" x14ac:dyDescent="0.2">
      <c r="A101" s="127">
        <v>95</v>
      </c>
      <c r="B101" s="104" t="s">
        <v>2092</v>
      </c>
      <c r="C101" s="40" t="s">
        <v>1815</v>
      </c>
      <c r="D101" s="40" t="s">
        <v>4239</v>
      </c>
      <c r="E101" s="104" t="s">
        <v>4208</v>
      </c>
      <c r="F101" s="114">
        <v>416703</v>
      </c>
      <c r="G101" s="104" t="s">
        <v>2093</v>
      </c>
      <c r="H101" s="40" t="s">
        <v>211</v>
      </c>
      <c r="I101" s="115" t="s">
        <v>1867</v>
      </c>
      <c r="J101" s="129">
        <v>0</v>
      </c>
    </row>
    <row r="102" spans="1:11" s="6" customFormat="1" ht="51" x14ac:dyDescent="0.2">
      <c r="A102" s="127">
        <v>96</v>
      </c>
      <c r="B102" s="104" t="s">
        <v>2097</v>
      </c>
      <c r="C102" s="40"/>
      <c r="D102" s="40"/>
      <c r="E102" s="104" t="s">
        <v>4208</v>
      </c>
      <c r="F102" s="114">
        <v>29374.42</v>
      </c>
      <c r="G102" s="104" t="s">
        <v>2098</v>
      </c>
      <c r="H102" s="40" t="s">
        <v>1311</v>
      </c>
      <c r="I102" s="115" t="s">
        <v>2099</v>
      </c>
      <c r="J102" s="129">
        <v>0</v>
      </c>
    </row>
    <row r="103" spans="1:11" s="6" customFormat="1" ht="51" x14ac:dyDescent="0.2">
      <c r="A103" s="127">
        <v>97</v>
      </c>
      <c r="B103" s="104" t="s">
        <v>2100</v>
      </c>
      <c r="C103" s="40"/>
      <c r="D103" s="40"/>
      <c r="E103" s="104" t="s">
        <v>4208</v>
      </c>
      <c r="F103" s="114">
        <f>41017.2+724359.5+26565</f>
        <v>791941.7</v>
      </c>
      <c r="G103" s="104" t="s">
        <v>2101</v>
      </c>
      <c r="H103" s="40" t="s">
        <v>83</v>
      </c>
      <c r="I103" s="115" t="s">
        <v>2048</v>
      </c>
      <c r="J103" s="129">
        <v>0</v>
      </c>
    </row>
    <row r="104" spans="1:11" s="6" customFormat="1" ht="51" x14ac:dyDescent="0.2">
      <c r="A104" s="127">
        <v>98</v>
      </c>
      <c r="B104" s="104" t="s">
        <v>2117</v>
      </c>
      <c r="C104" s="40"/>
      <c r="D104" s="40"/>
      <c r="E104" s="104" t="s">
        <v>4208</v>
      </c>
      <c r="F104" s="114">
        <v>1705690.35</v>
      </c>
      <c r="G104" s="104" t="s">
        <v>2118</v>
      </c>
      <c r="H104" s="40" t="s">
        <v>871</v>
      </c>
      <c r="I104" s="115" t="s">
        <v>2119</v>
      </c>
      <c r="J104" s="129">
        <v>0</v>
      </c>
    </row>
    <row r="105" spans="1:11" s="6" customFormat="1" ht="51" x14ac:dyDescent="0.2">
      <c r="A105" s="127">
        <v>99</v>
      </c>
      <c r="B105" s="104" t="s">
        <v>2120</v>
      </c>
      <c r="C105" s="40" t="s">
        <v>1815</v>
      </c>
      <c r="D105" s="40" t="s">
        <v>4239</v>
      </c>
      <c r="E105" s="104" t="s">
        <v>4208</v>
      </c>
      <c r="F105" s="114">
        <f>971751*1.05</f>
        <v>1020338.55</v>
      </c>
      <c r="G105" s="104" t="s">
        <v>2121</v>
      </c>
      <c r="H105" s="40" t="s">
        <v>871</v>
      </c>
      <c r="I105" s="40" t="s">
        <v>2057</v>
      </c>
      <c r="J105" s="129">
        <v>0</v>
      </c>
    </row>
    <row r="106" spans="1:11" s="6" customFormat="1" ht="51" x14ac:dyDescent="0.2">
      <c r="A106" s="127">
        <v>100</v>
      </c>
      <c r="B106" s="104" t="s">
        <v>2122</v>
      </c>
      <c r="C106" s="40" t="s">
        <v>1815</v>
      </c>
      <c r="D106" s="40" t="s">
        <v>4239</v>
      </c>
      <c r="E106" s="104" t="s">
        <v>4208</v>
      </c>
      <c r="F106" s="114">
        <v>74536.87</v>
      </c>
      <c r="G106" s="104" t="s">
        <v>2123</v>
      </c>
      <c r="H106" s="40" t="s">
        <v>871</v>
      </c>
      <c r="I106" s="40" t="s">
        <v>1907</v>
      </c>
      <c r="J106" s="129">
        <v>0</v>
      </c>
    </row>
    <row r="107" spans="1:11" s="6" customFormat="1" ht="51" x14ac:dyDescent="0.2">
      <c r="A107" s="127">
        <v>101</v>
      </c>
      <c r="B107" s="104" t="s">
        <v>2124</v>
      </c>
      <c r="C107" s="40" t="s">
        <v>1815</v>
      </c>
      <c r="D107" s="40" t="s">
        <v>4239</v>
      </c>
      <c r="E107" s="104" t="s">
        <v>4208</v>
      </c>
      <c r="F107" s="119">
        <f>226800+246148+274375+234013.5</f>
        <v>981336.5</v>
      </c>
      <c r="G107" s="104" t="s">
        <v>2125</v>
      </c>
      <c r="H107" s="40" t="s">
        <v>871</v>
      </c>
      <c r="I107" s="40" t="s">
        <v>1982</v>
      </c>
      <c r="J107" s="129">
        <v>0</v>
      </c>
      <c r="K107" s="199"/>
    </row>
    <row r="108" spans="1:11" s="6" customFormat="1" ht="51" x14ac:dyDescent="0.2">
      <c r="A108" s="127">
        <v>102</v>
      </c>
      <c r="B108" s="104" t="s">
        <v>2126</v>
      </c>
      <c r="C108" s="40" t="s">
        <v>1815</v>
      </c>
      <c r="D108" s="40" t="s">
        <v>4239</v>
      </c>
      <c r="E108" s="104" t="s">
        <v>4208</v>
      </c>
      <c r="F108" s="119">
        <v>6426393</v>
      </c>
      <c r="G108" s="104" t="s">
        <v>2127</v>
      </c>
      <c r="H108" s="40" t="s">
        <v>871</v>
      </c>
      <c r="I108" s="40" t="s">
        <v>2021</v>
      </c>
      <c r="J108" s="129">
        <v>0</v>
      </c>
      <c r="K108" s="199"/>
    </row>
    <row r="109" spans="1:11" s="6" customFormat="1" ht="51" x14ac:dyDescent="0.2">
      <c r="A109" s="127">
        <v>103</v>
      </c>
      <c r="B109" s="104" t="s">
        <v>2131</v>
      </c>
      <c r="C109" s="40" t="s">
        <v>1815</v>
      </c>
      <c r="D109" s="40" t="s">
        <v>4239</v>
      </c>
      <c r="E109" s="104" t="s">
        <v>4208</v>
      </c>
      <c r="F109" s="114">
        <v>249375</v>
      </c>
      <c r="G109" s="104" t="s">
        <v>2132</v>
      </c>
      <c r="H109" s="40" t="s">
        <v>2133</v>
      </c>
      <c r="I109" s="40" t="s">
        <v>1907</v>
      </c>
      <c r="J109" s="129">
        <v>0</v>
      </c>
    </row>
    <row r="110" spans="1:11" s="6" customFormat="1" ht="51" x14ac:dyDescent="0.2">
      <c r="A110" s="127">
        <v>104</v>
      </c>
      <c r="B110" s="104" t="s">
        <v>2134</v>
      </c>
      <c r="C110" s="40" t="s">
        <v>1815</v>
      </c>
      <c r="D110" s="40" t="s">
        <v>4239</v>
      </c>
      <c r="E110" s="104" t="s">
        <v>4208</v>
      </c>
      <c r="F110" s="119">
        <f>1995665*1.05</f>
        <v>2095448.25</v>
      </c>
      <c r="G110" s="104" t="s">
        <v>2135</v>
      </c>
      <c r="H110" s="40" t="s">
        <v>2133</v>
      </c>
      <c r="I110" s="40" t="s">
        <v>1982</v>
      </c>
      <c r="J110" s="129">
        <v>0</v>
      </c>
      <c r="K110" s="199"/>
    </row>
    <row r="111" spans="1:11" s="6" customFormat="1" ht="51" x14ac:dyDescent="0.2">
      <c r="A111" s="127">
        <v>105</v>
      </c>
      <c r="B111" s="104" t="s">
        <v>2138</v>
      </c>
      <c r="C111" s="40"/>
      <c r="D111" s="40"/>
      <c r="E111" s="104" t="s">
        <v>4208</v>
      </c>
      <c r="F111" s="114">
        <v>115426.5</v>
      </c>
      <c r="G111" s="104" t="s">
        <v>2139</v>
      </c>
      <c r="H111" s="40" t="s">
        <v>761</v>
      </c>
      <c r="I111" s="40" t="s">
        <v>2140</v>
      </c>
      <c r="J111" s="129">
        <v>0</v>
      </c>
    </row>
    <row r="112" spans="1:11" s="6" customFormat="1" ht="51" x14ac:dyDescent="0.2">
      <c r="A112" s="127">
        <v>106</v>
      </c>
      <c r="B112" s="104" t="s">
        <v>2150</v>
      </c>
      <c r="C112" s="40"/>
      <c r="D112" s="40"/>
      <c r="E112" s="104" t="s">
        <v>4208</v>
      </c>
      <c r="F112" s="114">
        <v>884912.5</v>
      </c>
      <c r="G112" s="104" t="s">
        <v>2151</v>
      </c>
      <c r="H112" s="40" t="s">
        <v>885</v>
      </c>
      <c r="I112" s="115">
        <v>42776</v>
      </c>
      <c r="J112" s="129">
        <v>0</v>
      </c>
    </row>
    <row r="113" spans="1:11" s="6" customFormat="1" ht="51" x14ac:dyDescent="0.2">
      <c r="A113" s="127">
        <v>107</v>
      </c>
      <c r="B113" s="104" t="s">
        <v>2175</v>
      </c>
      <c r="C113" s="40"/>
      <c r="D113" s="40"/>
      <c r="E113" s="104" t="s">
        <v>4208</v>
      </c>
      <c r="F113" s="114">
        <v>143200</v>
      </c>
      <c r="G113" s="104" t="s">
        <v>2176</v>
      </c>
      <c r="H113" s="40" t="s">
        <v>240</v>
      </c>
      <c r="I113" s="115">
        <v>42774</v>
      </c>
      <c r="J113" s="129">
        <v>0</v>
      </c>
    </row>
    <row r="114" spans="1:11" s="6" customFormat="1" ht="51" x14ac:dyDescent="0.2">
      <c r="A114" s="127">
        <v>108</v>
      </c>
      <c r="B114" s="104" t="s">
        <v>2184</v>
      </c>
      <c r="C114" s="40"/>
      <c r="D114" s="40"/>
      <c r="E114" s="104" t="s">
        <v>4208</v>
      </c>
      <c r="F114" s="114">
        <f>401730+473550</f>
        <v>875280</v>
      </c>
      <c r="G114" s="104" t="s">
        <v>2185</v>
      </c>
      <c r="H114" s="40" t="s">
        <v>91</v>
      </c>
      <c r="I114" s="115">
        <v>42777</v>
      </c>
      <c r="J114" s="129">
        <v>0</v>
      </c>
    </row>
    <row r="115" spans="1:11" s="6" customFormat="1" ht="51" x14ac:dyDescent="0.2">
      <c r="A115" s="127">
        <v>109</v>
      </c>
      <c r="B115" s="104" t="s">
        <v>2186</v>
      </c>
      <c r="C115" s="40" t="s">
        <v>1815</v>
      </c>
      <c r="D115" s="40" t="s">
        <v>4239</v>
      </c>
      <c r="E115" s="104" t="s">
        <v>4208</v>
      </c>
      <c r="F115" s="114">
        <v>1045805.27</v>
      </c>
      <c r="G115" s="36" t="s">
        <v>2187</v>
      </c>
      <c r="H115" s="40" t="s">
        <v>45</v>
      </c>
      <c r="I115" s="115">
        <v>43026</v>
      </c>
      <c r="J115" s="129">
        <v>0</v>
      </c>
    </row>
    <row r="116" spans="1:11" s="6" customFormat="1" ht="51" x14ac:dyDescent="0.2">
      <c r="A116" s="127">
        <v>110</v>
      </c>
      <c r="B116" s="104" t="s">
        <v>2188</v>
      </c>
      <c r="C116" s="40" t="s">
        <v>1815</v>
      </c>
      <c r="D116" s="40" t="s">
        <v>4239</v>
      </c>
      <c r="E116" s="104" t="s">
        <v>4208</v>
      </c>
      <c r="F116" s="119">
        <f>1363414.9+1385700+636308.75+2050668.75+993250+608265+1863540</f>
        <v>8901147.4000000004</v>
      </c>
      <c r="G116" s="36" t="s">
        <v>2189</v>
      </c>
      <c r="H116" s="40" t="s">
        <v>45</v>
      </c>
      <c r="I116" s="115">
        <v>43025</v>
      </c>
      <c r="J116" s="129">
        <v>0</v>
      </c>
      <c r="K116" s="199"/>
    </row>
    <row r="117" spans="1:11" s="6" customFormat="1" ht="51" x14ac:dyDescent="0.2">
      <c r="A117" s="127">
        <v>111</v>
      </c>
      <c r="B117" s="104" t="s">
        <v>2241</v>
      </c>
      <c r="C117" s="40" t="s">
        <v>1815</v>
      </c>
      <c r="D117" s="40" t="s">
        <v>4239</v>
      </c>
      <c r="E117" s="104" t="s">
        <v>4208</v>
      </c>
      <c r="F117" s="119">
        <f>24910+27200</f>
        <v>52110</v>
      </c>
      <c r="G117" s="36" t="s">
        <v>2242</v>
      </c>
      <c r="H117" s="40" t="s">
        <v>390</v>
      </c>
      <c r="I117" s="115">
        <v>43025</v>
      </c>
      <c r="J117" s="129">
        <v>0</v>
      </c>
      <c r="K117" s="199"/>
    </row>
    <row r="118" spans="1:11" s="6" customFormat="1" ht="51" x14ac:dyDescent="0.2">
      <c r="A118" s="127">
        <v>112</v>
      </c>
      <c r="B118" s="104" t="s">
        <v>2243</v>
      </c>
      <c r="C118" s="40" t="s">
        <v>1815</v>
      </c>
      <c r="D118" s="40" t="s">
        <v>4239</v>
      </c>
      <c r="E118" s="104" t="s">
        <v>4208</v>
      </c>
      <c r="F118" s="114">
        <f>(3180+5100)*1.25</f>
        <v>10350</v>
      </c>
      <c r="G118" s="36" t="s">
        <v>2244</v>
      </c>
      <c r="H118" s="40" t="s">
        <v>390</v>
      </c>
      <c r="I118" s="115">
        <v>43026</v>
      </c>
      <c r="J118" s="129">
        <v>0</v>
      </c>
    </row>
    <row r="119" spans="1:11" s="6" customFormat="1" ht="51" x14ac:dyDescent="0.2">
      <c r="A119" s="127">
        <v>113</v>
      </c>
      <c r="B119" s="104" t="s">
        <v>2245</v>
      </c>
      <c r="C119" s="40" t="s">
        <v>1815</v>
      </c>
      <c r="D119" s="40" t="s">
        <v>4218</v>
      </c>
      <c r="E119" s="104" t="s">
        <v>4208</v>
      </c>
      <c r="F119" s="114">
        <f>7499.12+77600+614997.5+67495+395430</f>
        <v>1163021.6200000001</v>
      </c>
      <c r="G119" s="36" t="s">
        <v>2246</v>
      </c>
      <c r="H119" s="40" t="s">
        <v>78</v>
      </c>
      <c r="I119" s="115">
        <v>43025</v>
      </c>
      <c r="J119" s="129">
        <v>0</v>
      </c>
    </row>
    <row r="120" spans="1:11" s="6" customFormat="1" ht="51" x14ac:dyDescent="0.2">
      <c r="A120" s="127">
        <v>114</v>
      </c>
      <c r="B120" s="104" t="s">
        <v>2248</v>
      </c>
      <c r="C120" s="40" t="s">
        <v>1815</v>
      </c>
      <c r="D120" s="40" t="s">
        <v>4239</v>
      </c>
      <c r="E120" s="104" t="s">
        <v>4208</v>
      </c>
      <c r="F120" s="114">
        <v>214013.5</v>
      </c>
      <c r="G120" s="36" t="s">
        <v>2247</v>
      </c>
      <c r="H120" s="40" t="s">
        <v>78</v>
      </c>
      <c r="I120" s="115">
        <v>43026</v>
      </c>
      <c r="J120" s="129">
        <v>0</v>
      </c>
    </row>
    <row r="121" spans="1:11" s="6" customFormat="1" ht="51" x14ac:dyDescent="0.2">
      <c r="A121" s="127">
        <v>115</v>
      </c>
      <c r="B121" s="104" t="s">
        <v>2249</v>
      </c>
      <c r="C121" s="40" t="s">
        <v>759</v>
      </c>
      <c r="D121" s="40" t="s">
        <v>4247</v>
      </c>
      <c r="E121" s="104" t="s">
        <v>4208</v>
      </c>
      <c r="F121" s="119">
        <f>2088349.83+2599598.25+2393592.6+3265619.92+1934148.49+3101536.1</f>
        <v>15382845.189999999</v>
      </c>
      <c r="G121" s="36" t="s">
        <v>2250</v>
      </c>
      <c r="H121" s="40" t="s">
        <v>83</v>
      </c>
      <c r="I121" s="115">
        <v>43393</v>
      </c>
      <c r="J121" s="129">
        <v>0</v>
      </c>
      <c r="K121" s="199"/>
    </row>
    <row r="122" spans="1:11" s="6" customFormat="1" ht="51" x14ac:dyDescent="0.2">
      <c r="A122" s="127">
        <v>116</v>
      </c>
      <c r="B122" s="104" t="s">
        <v>2251</v>
      </c>
      <c r="C122" s="40" t="s">
        <v>759</v>
      </c>
      <c r="D122" s="40" t="s">
        <v>4240</v>
      </c>
      <c r="E122" s="104" t="s">
        <v>4208</v>
      </c>
      <c r="F122" s="119">
        <f>(171200+36470+50096+309650+65230+44815+83395+129380+1054497.5+384075+259612+189526+199582.5+258652.5+689975+102624+76790+94760+69640)*1.05</f>
        <v>4483469.0250000004</v>
      </c>
      <c r="G122" s="36" t="s">
        <v>2252</v>
      </c>
      <c r="H122" s="40" t="s">
        <v>78</v>
      </c>
      <c r="I122" s="115">
        <v>43029</v>
      </c>
      <c r="J122" s="129">
        <v>0</v>
      </c>
      <c r="K122" s="39"/>
    </row>
    <row r="123" spans="1:11" s="6" customFormat="1" ht="51" x14ac:dyDescent="0.2">
      <c r="A123" s="127">
        <v>117</v>
      </c>
      <c r="B123" s="104" t="s">
        <v>2253</v>
      </c>
      <c r="C123" s="40" t="s">
        <v>759</v>
      </c>
      <c r="D123" s="40" t="s">
        <v>4247</v>
      </c>
      <c r="E123" s="104" t="s">
        <v>4208</v>
      </c>
      <c r="F123" s="119">
        <f>7262161.2+1041583.2+2386316.1+9363246.9+1014286.35+971199.6+1236868.5+2464182+11673287.33+2863279.13+4085487+1740892.13+4749608.33+2673252.23+2959915.88+2195512.2+1656779.25+488496.8+283347.75</f>
        <v>61109701.880000003</v>
      </c>
      <c r="G123" s="36" t="s">
        <v>2254</v>
      </c>
      <c r="H123" s="40" t="s">
        <v>78</v>
      </c>
      <c r="I123" s="115">
        <v>43028</v>
      </c>
      <c r="J123" s="129">
        <v>0</v>
      </c>
      <c r="K123" s="199"/>
    </row>
    <row r="124" spans="1:11" s="6" customFormat="1" ht="38.25" x14ac:dyDescent="0.2">
      <c r="A124" s="127">
        <v>118</v>
      </c>
      <c r="B124" s="104" t="s">
        <v>2255</v>
      </c>
      <c r="C124" s="40"/>
      <c r="D124" s="40"/>
      <c r="E124" s="104" t="s">
        <v>4208</v>
      </c>
      <c r="F124" s="114">
        <f>2520+63750</f>
        <v>66270</v>
      </c>
      <c r="G124" s="104" t="s">
        <v>2256</v>
      </c>
      <c r="H124" s="40" t="s">
        <v>146</v>
      </c>
      <c r="I124" s="40" t="s">
        <v>2091</v>
      </c>
      <c r="J124" s="129">
        <v>0</v>
      </c>
    </row>
    <row r="125" spans="1:11" s="6" customFormat="1" ht="51" x14ac:dyDescent="0.2">
      <c r="A125" s="127">
        <v>119</v>
      </c>
      <c r="B125" s="104" t="s">
        <v>2257</v>
      </c>
      <c r="C125" s="40" t="s">
        <v>4248</v>
      </c>
      <c r="D125" s="40" t="s">
        <v>4249</v>
      </c>
      <c r="E125" s="104" t="s">
        <v>4208</v>
      </c>
      <c r="F125" s="114">
        <f>768652.5</f>
        <v>768652.5</v>
      </c>
      <c r="G125" s="104" t="s">
        <v>2258</v>
      </c>
      <c r="H125" s="40" t="s">
        <v>1135</v>
      </c>
      <c r="I125" s="115">
        <v>42774</v>
      </c>
      <c r="J125" s="129">
        <v>0</v>
      </c>
    </row>
    <row r="126" spans="1:11" s="6" customFormat="1" ht="51" x14ac:dyDescent="0.2">
      <c r="A126" s="127">
        <v>120</v>
      </c>
      <c r="B126" s="104" t="s">
        <v>2276</v>
      </c>
      <c r="C126" s="40" t="s">
        <v>759</v>
      </c>
      <c r="D126" s="40" t="s">
        <v>4247</v>
      </c>
      <c r="E126" s="104" t="s">
        <v>4208</v>
      </c>
      <c r="F126" s="119">
        <f>557865+3665510.1+454272+2235400.65+2496312+1292865+1419642+2822788.5+2497866+1754088</f>
        <v>19196609.25</v>
      </c>
      <c r="G126" s="36" t="s">
        <v>2277</v>
      </c>
      <c r="H126" s="40" t="s">
        <v>761</v>
      </c>
      <c r="I126" s="115">
        <v>43393</v>
      </c>
      <c r="J126" s="129">
        <v>0</v>
      </c>
      <c r="K126" s="199"/>
    </row>
    <row r="127" spans="1:11" s="6" customFormat="1" ht="51" x14ac:dyDescent="0.2">
      <c r="A127" s="127">
        <v>121</v>
      </c>
      <c r="B127" s="104" t="s">
        <v>2336</v>
      </c>
      <c r="C127" s="40" t="s">
        <v>1634</v>
      </c>
      <c r="D127" s="40" t="s">
        <v>4238</v>
      </c>
      <c r="E127" s="104" t="s">
        <v>4208</v>
      </c>
      <c r="F127" s="119">
        <f>133437.5+124687.5+1230789+41500+2133891.95+70403.08+240378.13+348600</f>
        <v>4323687.16</v>
      </c>
      <c r="G127" s="36" t="s">
        <v>2337</v>
      </c>
      <c r="H127" s="40" t="s">
        <v>41</v>
      </c>
      <c r="I127" s="115">
        <v>43383</v>
      </c>
      <c r="J127" s="129">
        <v>0</v>
      </c>
      <c r="K127" s="199"/>
    </row>
    <row r="128" spans="1:11" s="6" customFormat="1" ht="51" x14ac:dyDescent="0.2">
      <c r="A128" s="127">
        <v>122</v>
      </c>
      <c r="B128" s="104" t="s">
        <v>2338</v>
      </c>
      <c r="C128" s="40" t="s">
        <v>1634</v>
      </c>
      <c r="D128" s="40" t="s">
        <v>4238</v>
      </c>
      <c r="E128" s="104" t="s">
        <v>4208</v>
      </c>
      <c r="F128" s="114">
        <v>277919.01</v>
      </c>
      <c r="G128" s="36" t="s">
        <v>2339</v>
      </c>
      <c r="H128" s="40" t="s">
        <v>41</v>
      </c>
      <c r="I128" s="115">
        <v>43019</v>
      </c>
      <c r="J128" s="129">
        <v>0</v>
      </c>
    </row>
    <row r="129" spans="1:11" s="6" customFormat="1" ht="51" x14ac:dyDescent="0.2">
      <c r="A129" s="127">
        <v>123</v>
      </c>
      <c r="B129" s="104" t="s">
        <v>2340</v>
      </c>
      <c r="C129" s="40" t="s">
        <v>759</v>
      </c>
      <c r="D129" s="40" t="s">
        <v>4247</v>
      </c>
      <c r="E129" s="104" t="s">
        <v>4208</v>
      </c>
      <c r="F129" s="119">
        <f>(138871.2+162065.1+359889+440110.5+161609.95+454626.6)*1.05</f>
        <v>1803030.9675000003</v>
      </c>
      <c r="G129" s="36" t="s">
        <v>2341</v>
      </c>
      <c r="H129" s="40" t="s">
        <v>83</v>
      </c>
      <c r="I129" s="115">
        <v>43029</v>
      </c>
      <c r="J129" s="129">
        <v>0</v>
      </c>
    </row>
    <row r="130" spans="1:11" s="6" customFormat="1" ht="51" x14ac:dyDescent="0.2">
      <c r="A130" s="127">
        <v>124</v>
      </c>
      <c r="B130" s="104" t="s">
        <v>2348</v>
      </c>
      <c r="C130" s="40" t="s">
        <v>1815</v>
      </c>
      <c r="D130" s="40" t="s">
        <v>4239</v>
      </c>
      <c r="E130" s="104" t="s">
        <v>4208</v>
      </c>
      <c r="F130" s="119">
        <v>585009.6</v>
      </c>
      <c r="G130" s="36" t="s">
        <v>2349</v>
      </c>
      <c r="H130" s="40" t="s">
        <v>871</v>
      </c>
      <c r="I130" s="115">
        <v>43026</v>
      </c>
      <c r="J130" s="129">
        <v>0</v>
      </c>
    </row>
    <row r="131" spans="1:11" s="6" customFormat="1" ht="51" x14ac:dyDescent="0.2">
      <c r="A131" s="127">
        <v>125</v>
      </c>
      <c r="B131" s="104" t="s">
        <v>2350</v>
      </c>
      <c r="C131" s="40" t="s">
        <v>1815</v>
      </c>
      <c r="D131" s="40" t="s">
        <v>4239</v>
      </c>
      <c r="E131" s="104" t="s">
        <v>4208</v>
      </c>
      <c r="F131" s="119">
        <f>353438.75+537285+240240+1187550+83025+324877.5</f>
        <v>2726416.25</v>
      </c>
      <c r="G131" s="36" t="s">
        <v>2351</v>
      </c>
      <c r="H131" s="40" t="s">
        <v>871</v>
      </c>
      <c r="I131" s="115">
        <v>43025</v>
      </c>
      <c r="J131" s="129">
        <v>0</v>
      </c>
      <c r="K131" s="199"/>
    </row>
    <row r="132" spans="1:11" s="6" customFormat="1" ht="51" x14ac:dyDescent="0.2">
      <c r="A132" s="127">
        <v>126</v>
      </c>
      <c r="B132" s="104" t="s">
        <v>2378</v>
      </c>
      <c r="C132" s="40" t="s">
        <v>759</v>
      </c>
      <c r="D132" s="40" t="s">
        <v>4240</v>
      </c>
      <c r="E132" s="104" t="s">
        <v>4208</v>
      </c>
      <c r="F132" s="119">
        <f>(34500+172260+43300+244845+304800+175900+169050+612540+205150+260800)*1.05</f>
        <v>2334302.25</v>
      </c>
      <c r="G132" s="36" t="s">
        <v>2379</v>
      </c>
      <c r="H132" s="40" t="s">
        <v>761</v>
      </c>
      <c r="I132" s="115">
        <v>43029</v>
      </c>
      <c r="J132" s="129">
        <v>0</v>
      </c>
    </row>
    <row r="133" spans="1:11" s="6" customFormat="1" ht="51" x14ac:dyDescent="0.2">
      <c r="A133" s="127">
        <v>127</v>
      </c>
      <c r="B133" s="104" t="s">
        <v>2414</v>
      </c>
      <c r="C133" s="40" t="s">
        <v>1815</v>
      </c>
      <c r="D133" s="40" t="s">
        <v>4239</v>
      </c>
      <c r="E133" s="104" t="s">
        <v>4208</v>
      </c>
      <c r="F133" s="119">
        <f>4972.5+1248.5+4815+6235+2100+6000</f>
        <v>25371</v>
      </c>
      <c r="G133" s="36" t="s">
        <v>2415</v>
      </c>
      <c r="H133" s="40" t="s">
        <v>96</v>
      </c>
      <c r="I133" s="115">
        <v>43025</v>
      </c>
      <c r="J133" s="129">
        <v>0</v>
      </c>
      <c r="K133" s="199"/>
    </row>
    <row r="134" spans="1:11" s="6" customFormat="1" ht="51" x14ac:dyDescent="0.2">
      <c r="A134" s="127">
        <v>128</v>
      </c>
      <c r="B134" s="104" t="s">
        <v>2416</v>
      </c>
      <c r="C134" s="40" t="s">
        <v>1815</v>
      </c>
      <c r="D134" s="40" t="s">
        <v>4239</v>
      </c>
      <c r="E134" s="104" t="s">
        <v>4208</v>
      </c>
      <c r="F134" s="114">
        <v>5879.37</v>
      </c>
      <c r="G134" s="36" t="s">
        <v>2417</v>
      </c>
      <c r="H134" s="40" t="s">
        <v>96</v>
      </c>
      <c r="I134" s="115">
        <v>43026</v>
      </c>
      <c r="J134" s="129">
        <v>0</v>
      </c>
    </row>
    <row r="135" spans="1:11" s="6" customFormat="1" ht="51" x14ac:dyDescent="0.2">
      <c r="A135" s="127">
        <v>129</v>
      </c>
      <c r="B135" s="104" t="s">
        <v>2493</v>
      </c>
      <c r="C135" s="40" t="s">
        <v>4248</v>
      </c>
      <c r="D135" s="40" t="s">
        <v>4249</v>
      </c>
      <c r="E135" s="104" t="s">
        <v>4208</v>
      </c>
      <c r="F135" s="114">
        <v>308679</v>
      </c>
      <c r="G135" s="36" t="s">
        <v>2492</v>
      </c>
      <c r="H135" s="40" t="s">
        <v>2491</v>
      </c>
      <c r="I135" s="115">
        <v>43021</v>
      </c>
      <c r="J135" s="129">
        <v>0</v>
      </c>
    </row>
    <row r="136" spans="1:11" s="6" customFormat="1" ht="51" x14ac:dyDescent="0.2">
      <c r="A136" s="127">
        <v>130</v>
      </c>
      <c r="B136" s="104" t="s">
        <v>2494</v>
      </c>
      <c r="C136" s="40" t="s">
        <v>4248</v>
      </c>
      <c r="D136" s="40" t="s">
        <v>4249</v>
      </c>
      <c r="E136" s="104" t="s">
        <v>4208</v>
      </c>
      <c r="F136" s="114">
        <v>71700</v>
      </c>
      <c r="G136" s="36" t="s">
        <v>2495</v>
      </c>
      <c r="H136" s="40" t="s">
        <v>261</v>
      </c>
      <c r="I136" s="115">
        <v>43015</v>
      </c>
      <c r="J136" s="129">
        <v>0</v>
      </c>
    </row>
    <row r="137" spans="1:11" s="6" customFormat="1" ht="51" x14ac:dyDescent="0.2">
      <c r="A137" s="127">
        <v>131</v>
      </c>
      <c r="B137" s="104" t="s">
        <v>2682</v>
      </c>
      <c r="C137" s="40" t="s">
        <v>4243</v>
      </c>
      <c r="D137" s="40" t="s">
        <v>4244</v>
      </c>
      <c r="E137" s="104" t="s">
        <v>4208</v>
      </c>
      <c r="F137" s="114">
        <v>264716.25</v>
      </c>
      <c r="G137" s="36" t="s">
        <v>2683</v>
      </c>
      <c r="H137" s="40" t="s">
        <v>211</v>
      </c>
      <c r="I137" s="115">
        <v>43035</v>
      </c>
      <c r="J137" s="129">
        <v>0</v>
      </c>
    </row>
    <row r="138" spans="1:11" s="6" customFormat="1" ht="51" x14ac:dyDescent="0.2">
      <c r="A138" s="127">
        <v>132</v>
      </c>
      <c r="B138" s="104" t="s">
        <v>2742</v>
      </c>
      <c r="C138" s="40" t="s">
        <v>1815</v>
      </c>
      <c r="D138" s="40" t="s">
        <v>4239</v>
      </c>
      <c r="E138" s="104" t="s">
        <v>4208</v>
      </c>
      <c r="F138" s="114">
        <v>2287.5</v>
      </c>
      <c r="G138" s="36" t="s">
        <v>2743</v>
      </c>
      <c r="H138" s="40" t="s">
        <v>96</v>
      </c>
      <c r="I138" s="115">
        <v>43046</v>
      </c>
      <c r="J138" s="129">
        <v>0</v>
      </c>
    </row>
    <row r="139" spans="1:11" s="6" customFormat="1" ht="51" x14ac:dyDescent="0.2">
      <c r="A139" s="127">
        <v>133</v>
      </c>
      <c r="B139" s="104" t="s">
        <v>2745</v>
      </c>
      <c r="C139" s="40" t="s">
        <v>1815</v>
      </c>
      <c r="D139" s="40" t="s">
        <v>4239</v>
      </c>
      <c r="E139" s="104" t="s">
        <v>4208</v>
      </c>
      <c r="F139" s="119">
        <v>13725</v>
      </c>
      <c r="G139" s="36" t="s">
        <v>2744</v>
      </c>
      <c r="H139" s="40" t="s">
        <v>96</v>
      </c>
      <c r="I139" s="115">
        <v>43046</v>
      </c>
      <c r="J139" s="129">
        <v>0</v>
      </c>
      <c r="K139" s="199"/>
    </row>
    <row r="140" spans="1:11" s="6" customFormat="1" ht="38.25" x14ac:dyDescent="0.2">
      <c r="A140" s="127">
        <v>134</v>
      </c>
      <c r="B140" s="40" t="s">
        <v>2761</v>
      </c>
      <c r="C140" s="40" t="s">
        <v>1889</v>
      </c>
      <c r="D140" s="40" t="s">
        <v>4138</v>
      </c>
      <c r="E140" s="104" t="s">
        <v>4208</v>
      </c>
      <c r="F140" s="200">
        <v>138500</v>
      </c>
      <c r="G140" s="36" t="s">
        <v>2763</v>
      </c>
      <c r="H140" s="40" t="s">
        <v>2762</v>
      </c>
      <c r="I140" s="115">
        <v>43054</v>
      </c>
      <c r="J140" s="129">
        <v>0</v>
      </c>
      <c r="K140" s="6" t="s">
        <v>4271</v>
      </c>
    </row>
    <row r="141" spans="1:11" s="6" customFormat="1" ht="38.25" x14ac:dyDescent="0.2">
      <c r="A141" s="127">
        <v>135</v>
      </c>
      <c r="B141" s="104" t="s">
        <v>2774</v>
      </c>
      <c r="C141" s="40"/>
      <c r="D141" s="40"/>
      <c r="E141" s="104" t="s">
        <v>4208</v>
      </c>
      <c r="F141" s="119">
        <f>40656*1.25</f>
        <v>50820</v>
      </c>
      <c r="G141" s="36" t="s">
        <v>2775</v>
      </c>
      <c r="H141" s="40" t="s">
        <v>45</v>
      </c>
      <c r="I141" s="115">
        <v>43054</v>
      </c>
      <c r="J141" s="129">
        <v>0</v>
      </c>
    </row>
    <row r="142" spans="1:11" s="6" customFormat="1" ht="38.25" x14ac:dyDescent="0.2">
      <c r="A142" s="127">
        <v>136</v>
      </c>
      <c r="B142" s="104" t="s">
        <v>2949</v>
      </c>
      <c r="C142" s="40"/>
      <c r="D142" s="40"/>
      <c r="E142" s="104" t="s">
        <v>4208</v>
      </c>
      <c r="F142" s="119">
        <f>(155203.5+182364.8)*1.25</f>
        <v>421960.375</v>
      </c>
      <c r="G142" s="36" t="s">
        <v>2775</v>
      </c>
      <c r="H142" s="40" t="s">
        <v>480</v>
      </c>
      <c r="I142" s="115">
        <v>43054</v>
      </c>
      <c r="J142" s="129">
        <v>0</v>
      </c>
    </row>
    <row r="143" spans="1:11" s="6" customFormat="1" ht="38.25" x14ac:dyDescent="0.2">
      <c r="A143" s="127">
        <v>137</v>
      </c>
      <c r="B143" s="104" t="s">
        <v>3032</v>
      </c>
      <c r="C143" s="40"/>
      <c r="D143" s="40"/>
      <c r="E143" s="104" t="s">
        <v>4208</v>
      </c>
      <c r="F143" s="119">
        <v>424500</v>
      </c>
      <c r="G143" s="36" t="s">
        <v>3033</v>
      </c>
      <c r="H143" s="40" t="s">
        <v>904</v>
      </c>
      <c r="I143" s="115">
        <v>43054</v>
      </c>
      <c r="J143" s="129">
        <v>0</v>
      </c>
    </row>
    <row r="144" spans="1:11" s="6" customFormat="1" ht="51" x14ac:dyDescent="0.2">
      <c r="A144" s="127">
        <v>138</v>
      </c>
      <c r="B144" s="104" t="s">
        <v>3062</v>
      </c>
      <c r="C144" s="40"/>
      <c r="D144" s="101" t="s">
        <v>4251</v>
      </c>
      <c r="E144" s="104" t="s">
        <v>4208</v>
      </c>
      <c r="F144" s="114">
        <v>969354.75</v>
      </c>
      <c r="G144" s="36" t="s">
        <v>3063</v>
      </c>
      <c r="H144" s="40" t="s">
        <v>83</v>
      </c>
      <c r="I144" s="115">
        <v>43067</v>
      </c>
      <c r="J144" s="129">
        <v>0</v>
      </c>
    </row>
    <row r="145" spans="1:10" s="6" customFormat="1" ht="51" x14ac:dyDescent="0.2">
      <c r="A145" s="127">
        <v>139</v>
      </c>
      <c r="B145" s="104" t="s">
        <v>3152</v>
      </c>
      <c r="C145" s="130" t="s">
        <v>4245</v>
      </c>
      <c r="D145" s="40" t="s">
        <v>4246</v>
      </c>
      <c r="E145" s="104" t="s">
        <v>4208</v>
      </c>
      <c r="F145" s="114">
        <v>224956.88</v>
      </c>
      <c r="G145" s="36" t="s">
        <v>3154</v>
      </c>
      <c r="H145" s="40" t="s">
        <v>3153</v>
      </c>
      <c r="I145" s="115">
        <v>43074</v>
      </c>
      <c r="J145" s="129">
        <v>0</v>
      </c>
    </row>
    <row r="146" spans="1:10" s="6" customFormat="1" ht="51" x14ac:dyDescent="0.2">
      <c r="A146" s="127">
        <v>140</v>
      </c>
      <c r="B146" s="104" t="s">
        <v>3155</v>
      </c>
      <c r="C146" s="40"/>
      <c r="D146" s="40"/>
      <c r="E146" s="104" t="s">
        <v>4208</v>
      </c>
      <c r="F146" s="114">
        <f>920*1.25</f>
        <v>1150</v>
      </c>
      <c r="G146" s="36" t="s">
        <v>3156</v>
      </c>
      <c r="H146" s="40" t="s">
        <v>146</v>
      </c>
      <c r="I146" s="115">
        <v>43064</v>
      </c>
      <c r="J146" s="129">
        <v>0</v>
      </c>
    </row>
    <row r="147" spans="1:10" s="6" customFormat="1" ht="51" x14ac:dyDescent="0.2">
      <c r="A147" s="127">
        <v>141</v>
      </c>
      <c r="B147" s="104" t="s">
        <v>3219</v>
      </c>
      <c r="C147" s="130" t="s">
        <v>4245</v>
      </c>
      <c r="D147" s="40" t="s">
        <v>4246</v>
      </c>
      <c r="E147" s="104" t="s">
        <v>4208</v>
      </c>
      <c r="F147" s="114">
        <v>235045.19</v>
      </c>
      <c r="G147" s="36" t="s">
        <v>3220</v>
      </c>
      <c r="H147" s="40" t="s">
        <v>578</v>
      </c>
      <c r="I147" s="115">
        <v>43074</v>
      </c>
      <c r="J147" s="129">
        <v>0</v>
      </c>
    </row>
    <row r="148" spans="1:10" s="6" customFormat="1" ht="51" x14ac:dyDescent="0.2">
      <c r="A148" s="127">
        <v>142</v>
      </c>
      <c r="B148" s="104" t="s">
        <v>3387</v>
      </c>
      <c r="C148" s="40" t="s">
        <v>4243</v>
      </c>
      <c r="D148" s="40" t="s">
        <v>4244</v>
      </c>
      <c r="E148" s="104" t="s">
        <v>4208</v>
      </c>
      <c r="F148" s="114">
        <v>47400</v>
      </c>
      <c r="G148" s="36" t="s">
        <v>3388</v>
      </c>
      <c r="H148" s="40" t="s">
        <v>3389</v>
      </c>
      <c r="I148" s="115">
        <v>43081</v>
      </c>
      <c r="J148" s="129">
        <v>0</v>
      </c>
    </row>
    <row r="149" spans="1:10" s="6" customFormat="1" ht="51" x14ac:dyDescent="0.2">
      <c r="A149" s="127">
        <v>143</v>
      </c>
      <c r="B149" s="104" t="s">
        <v>3670</v>
      </c>
      <c r="C149" s="131" t="s">
        <v>1634</v>
      </c>
      <c r="D149" s="131"/>
      <c r="E149" s="104" t="s">
        <v>4208</v>
      </c>
      <c r="F149" s="114">
        <v>6941145.6100000003</v>
      </c>
      <c r="G149" s="104" t="s">
        <v>3671</v>
      </c>
      <c r="H149" s="40" t="s">
        <v>480</v>
      </c>
      <c r="I149" s="115">
        <v>43012</v>
      </c>
      <c r="J149" s="114">
        <v>0</v>
      </c>
    </row>
  </sheetData>
  <autoFilter ref="A6:J149"/>
  <mergeCells count="1">
    <mergeCell ref="A4:G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6"/>
  <sheetViews>
    <sheetView zoomScale="90" zoomScaleNormal="90" workbookViewId="0">
      <pane ySplit="6" topLeftCell="A169" activePane="bottomLeft" state="frozen"/>
      <selection pane="bottomLeft" activeCell="A7" sqref="A7:A176"/>
    </sheetView>
  </sheetViews>
  <sheetFormatPr defaultRowHeight="12.75" x14ac:dyDescent="0.2"/>
  <cols>
    <col min="2" max="2" width="46.5703125" style="108" customWidth="1"/>
    <col min="3" max="3" width="12.140625" customWidth="1"/>
    <col min="4" max="4" width="20.42578125" customWidth="1"/>
    <col min="5" max="5" width="32.85546875" customWidth="1"/>
    <col min="6" max="6" width="15.85546875" customWidth="1"/>
    <col min="7" max="7" width="19.85546875" customWidth="1"/>
    <col min="8" max="8" width="11" customWidth="1"/>
    <col min="9" max="9" width="12.7109375" style="19" customWidth="1"/>
  </cols>
  <sheetData>
    <row r="1" spans="1:9" x14ac:dyDescent="0.2">
      <c r="A1" s="213" t="s">
        <v>6</v>
      </c>
      <c r="B1" s="213"/>
      <c r="C1" s="1"/>
      <c r="D1" s="2"/>
      <c r="E1" s="3"/>
      <c r="F1" s="4"/>
      <c r="G1" s="5"/>
      <c r="H1" s="3"/>
      <c r="I1" s="58"/>
    </row>
    <row r="2" spans="1:9" x14ac:dyDescent="0.2">
      <c r="A2" s="213" t="s">
        <v>1283</v>
      </c>
      <c r="B2" s="213"/>
      <c r="C2" s="1"/>
      <c r="D2" s="2"/>
      <c r="E2" s="3"/>
      <c r="F2" s="4"/>
      <c r="G2" s="5"/>
      <c r="H2" s="3"/>
      <c r="I2" s="58"/>
    </row>
    <row r="3" spans="1:9" x14ac:dyDescent="0.2">
      <c r="B3" s="39"/>
      <c r="D3" s="7"/>
      <c r="E3" s="3"/>
      <c r="G3" s="5"/>
      <c r="H3" s="3"/>
      <c r="I3" s="58"/>
    </row>
    <row r="4" spans="1:9" x14ac:dyDescent="0.2">
      <c r="A4" s="33" t="s">
        <v>4175</v>
      </c>
      <c r="B4" s="33"/>
      <c r="C4" s="33"/>
      <c r="D4" s="33"/>
      <c r="E4" s="33"/>
      <c r="F4" s="33"/>
      <c r="G4" s="33"/>
      <c r="H4" s="33"/>
      <c r="I4" s="106"/>
    </row>
    <row r="5" spans="1:9" x14ac:dyDescent="0.2">
      <c r="B5" s="39"/>
      <c r="D5" s="7"/>
      <c r="E5" s="3"/>
      <c r="G5" s="5"/>
      <c r="H5" s="3"/>
      <c r="I5" s="58"/>
    </row>
    <row r="6" spans="1:9" ht="76.5" x14ac:dyDescent="0.2">
      <c r="A6" s="35" t="s">
        <v>5</v>
      </c>
      <c r="B6" s="35" t="s">
        <v>7</v>
      </c>
      <c r="C6" s="35" t="s">
        <v>1</v>
      </c>
      <c r="D6" s="35" t="s">
        <v>4253</v>
      </c>
      <c r="E6" s="35" t="s">
        <v>10</v>
      </c>
      <c r="F6" s="35" t="s">
        <v>11</v>
      </c>
      <c r="G6" s="35" t="s">
        <v>12</v>
      </c>
      <c r="H6" s="26" t="s">
        <v>13</v>
      </c>
      <c r="I6" s="21" t="s">
        <v>14</v>
      </c>
    </row>
    <row r="7" spans="1:9" s="6" customFormat="1" ht="38.25" x14ac:dyDescent="0.2">
      <c r="A7" s="109">
        <v>1</v>
      </c>
      <c r="B7" s="110" t="s">
        <v>254</v>
      </c>
      <c r="C7" s="111" t="s">
        <v>251</v>
      </c>
      <c r="D7" s="40" t="s">
        <v>253</v>
      </c>
      <c r="E7" s="104" t="s">
        <v>256</v>
      </c>
      <c r="F7" s="112">
        <v>13837.5</v>
      </c>
      <c r="G7" s="29" t="s">
        <v>258</v>
      </c>
      <c r="H7" s="113">
        <v>42767</v>
      </c>
      <c r="I7" s="114">
        <v>0</v>
      </c>
    </row>
    <row r="8" spans="1:9" s="6" customFormat="1" ht="38.25" x14ac:dyDescent="0.2">
      <c r="A8" s="109">
        <v>2</v>
      </c>
      <c r="B8" s="110" t="s">
        <v>255</v>
      </c>
      <c r="C8" s="111" t="s">
        <v>252</v>
      </c>
      <c r="D8" s="40" t="s">
        <v>253</v>
      </c>
      <c r="E8" s="40" t="s">
        <v>257</v>
      </c>
      <c r="F8" s="112">
        <v>161756.25</v>
      </c>
      <c r="G8" s="29" t="s">
        <v>259</v>
      </c>
      <c r="H8" s="115" t="s">
        <v>4151</v>
      </c>
      <c r="I8" s="114">
        <v>100668.75</v>
      </c>
    </row>
    <row r="9" spans="1:9" s="6" customFormat="1" ht="38.25" x14ac:dyDescent="0.2">
      <c r="A9" s="109">
        <v>3</v>
      </c>
      <c r="B9" s="110" t="s">
        <v>266</v>
      </c>
      <c r="C9" s="116" t="s">
        <v>267</v>
      </c>
      <c r="D9" s="110" t="s">
        <v>253</v>
      </c>
      <c r="E9" s="104" t="s">
        <v>268</v>
      </c>
      <c r="F9" s="112">
        <v>130000</v>
      </c>
      <c r="G9" s="29" t="s">
        <v>269</v>
      </c>
      <c r="H9" s="115">
        <v>42782</v>
      </c>
      <c r="I9" s="112">
        <v>127370</v>
      </c>
    </row>
    <row r="10" spans="1:9" s="6" customFormat="1" ht="25.5" x14ac:dyDescent="0.2">
      <c r="A10" s="109">
        <v>4</v>
      </c>
      <c r="B10" s="110" t="s">
        <v>273</v>
      </c>
      <c r="C10" s="40" t="s">
        <v>272</v>
      </c>
      <c r="D10" s="110" t="s">
        <v>253</v>
      </c>
      <c r="E10" s="40" t="s">
        <v>274</v>
      </c>
      <c r="F10" s="112">
        <v>99846.74</v>
      </c>
      <c r="G10" s="104" t="s">
        <v>275</v>
      </c>
      <c r="H10" s="115" t="s">
        <v>4152</v>
      </c>
      <c r="I10" s="114">
        <v>99846.74</v>
      </c>
    </row>
    <row r="11" spans="1:9" s="6" customFormat="1" ht="38.25" x14ac:dyDescent="0.2">
      <c r="A11" s="109">
        <v>5</v>
      </c>
      <c r="B11" s="110" t="s">
        <v>277</v>
      </c>
      <c r="C11" s="116" t="s">
        <v>276</v>
      </c>
      <c r="D11" s="110" t="s">
        <v>253</v>
      </c>
      <c r="E11" s="40" t="s">
        <v>278</v>
      </c>
      <c r="F11" s="112">
        <v>103125</v>
      </c>
      <c r="G11" s="29" t="s">
        <v>279</v>
      </c>
      <c r="H11" s="115">
        <v>42788</v>
      </c>
      <c r="I11" s="114">
        <v>0</v>
      </c>
    </row>
    <row r="12" spans="1:9" s="6" customFormat="1" ht="38.25" x14ac:dyDescent="0.2">
      <c r="A12" s="109">
        <v>6</v>
      </c>
      <c r="B12" s="42" t="s">
        <v>286</v>
      </c>
      <c r="C12" s="40" t="s">
        <v>287</v>
      </c>
      <c r="D12" s="110" t="s">
        <v>253</v>
      </c>
      <c r="E12" s="40" t="s">
        <v>288</v>
      </c>
      <c r="F12" s="112">
        <v>37462.5</v>
      </c>
      <c r="G12" s="29" t="s">
        <v>289</v>
      </c>
      <c r="H12" s="115">
        <v>42789</v>
      </c>
      <c r="I12" s="112">
        <v>24975.040000000001</v>
      </c>
    </row>
    <row r="13" spans="1:9" s="6" customFormat="1" ht="38.25" x14ac:dyDescent="0.2">
      <c r="A13" s="109">
        <v>7</v>
      </c>
      <c r="B13" s="42" t="s">
        <v>290</v>
      </c>
      <c r="C13" s="40" t="s">
        <v>287</v>
      </c>
      <c r="D13" s="110" t="s">
        <v>253</v>
      </c>
      <c r="E13" s="40" t="s">
        <v>78</v>
      </c>
      <c r="F13" s="112">
        <v>78750</v>
      </c>
      <c r="G13" s="29" t="s">
        <v>292</v>
      </c>
      <c r="H13" s="115">
        <v>42789</v>
      </c>
      <c r="I13" s="114">
        <v>59062.5</v>
      </c>
    </row>
    <row r="14" spans="1:9" s="6" customFormat="1" ht="38.25" x14ac:dyDescent="0.2">
      <c r="A14" s="109">
        <v>8</v>
      </c>
      <c r="B14" s="42" t="s">
        <v>293</v>
      </c>
      <c r="C14" s="40" t="s">
        <v>291</v>
      </c>
      <c r="D14" s="110" t="s">
        <v>253</v>
      </c>
      <c r="E14" s="40" t="s">
        <v>294</v>
      </c>
      <c r="F14" s="112">
        <v>187250</v>
      </c>
      <c r="G14" s="29" t="s">
        <v>295</v>
      </c>
      <c r="H14" s="115">
        <v>42798</v>
      </c>
      <c r="I14" s="114">
        <v>109229.12</v>
      </c>
    </row>
    <row r="15" spans="1:9" s="6" customFormat="1" ht="38.25" x14ac:dyDescent="0.2">
      <c r="A15" s="109">
        <v>9</v>
      </c>
      <c r="B15" s="42" t="s">
        <v>299</v>
      </c>
      <c r="C15" s="40" t="s">
        <v>300</v>
      </c>
      <c r="D15" s="110" t="s">
        <v>253</v>
      </c>
      <c r="E15" s="40" t="s">
        <v>301</v>
      </c>
      <c r="F15" s="112">
        <v>38112.5</v>
      </c>
      <c r="G15" s="29" t="s">
        <v>302</v>
      </c>
      <c r="H15" s="115">
        <v>42799</v>
      </c>
      <c r="I15" s="114">
        <v>7365.25</v>
      </c>
    </row>
    <row r="16" spans="1:9" s="6" customFormat="1" ht="38.25" x14ac:dyDescent="0.2">
      <c r="A16" s="109">
        <v>10</v>
      </c>
      <c r="B16" s="42" t="s">
        <v>309</v>
      </c>
      <c r="C16" s="40" t="s">
        <v>287</v>
      </c>
      <c r="D16" s="110" t="s">
        <v>253</v>
      </c>
      <c r="E16" s="40" t="s">
        <v>294</v>
      </c>
      <c r="F16" s="112">
        <v>18625</v>
      </c>
      <c r="G16" s="29" t="s">
        <v>310</v>
      </c>
      <c r="H16" s="115">
        <v>42789</v>
      </c>
      <c r="I16" s="114">
        <v>4656.24</v>
      </c>
    </row>
    <row r="17" spans="1:9" s="6" customFormat="1" ht="38.25" x14ac:dyDescent="0.2">
      <c r="A17" s="109">
        <v>11</v>
      </c>
      <c r="B17" s="42" t="s">
        <v>311</v>
      </c>
      <c r="C17" s="40" t="s">
        <v>291</v>
      </c>
      <c r="D17" s="110" t="s">
        <v>253</v>
      </c>
      <c r="E17" s="40" t="s">
        <v>312</v>
      </c>
      <c r="F17" s="112">
        <v>39999</v>
      </c>
      <c r="G17" s="29" t="s">
        <v>313</v>
      </c>
      <c r="H17" s="115">
        <v>42789</v>
      </c>
      <c r="I17" s="114">
        <v>33935</v>
      </c>
    </row>
    <row r="18" spans="1:9" s="6" customFormat="1" ht="38.25" x14ac:dyDescent="0.2">
      <c r="A18" s="109">
        <v>12</v>
      </c>
      <c r="B18" s="42" t="s">
        <v>319</v>
      </c>
      <c r="C18" s="40" t="s">
        <v>320</v>
      </c>
      <c r="D18" s="110" t="s">
        <v>253</v>
      </c>
      <c r="E18" s="40" t="s">
        <v>91</v>
      </c>
      <c r="F18" s="112">
        <v>225000</v>
      </c>
      <c r="G18" s="29" t="s">
        <v>321</v>
      </c>
      <c r="H18" s="115">
        <v>42789</v>
      </c>
      <c r="I18" s="114">
        <v>150000.01999999999</v>
      </c>
    </row>
    <row r="19" spans="1:9" s="6" customFormat="1" ht="38.25" x14ac:dyDescent="0.2">
      <c r="A19" s="109">
        <v>13</v>
      </c>
      <c r="B19" s="42" t="s">
        <v>325</v>
      </c>
      <c r="C19" s="40" t="s">
        <v>326</v>
      </c>
      <c r="D19" s="110" t="s">
        <v>253</v>
      </c>
      <c r="E19" s="40" t="s">
        <v>49</v>
      </c>
      <c r="F19" s="112">
        <v>79967.25</v>
      </c>
      <c r="G19" s="29" t="s">
        <v>327</v>
      </c>
      <c r="H19" s="115">
        <v>42794</v>
      </c>
      <c r="I19" s="114">
        <v>0</v>
      </c>
    </row>
    <row r="20" spans="1:9" s="6" customFormat="1" ht="38.25" x14ac:dyDescent="0.2">
      <c r="A20" s="109">
        <v>14</v>
      </c>
      <c r="B20" s="42" t="s">
        <v>351</v>
      </c>
      <c r="C20" s="40" t="s">
        <v>352</v>
      </c>
      <c r="D20" s="40" t="s">
        <v>253</v>
      </c>
      <c r="E20" s="40" t="s">
        <v>353</v>
      </c>
      <c r="F20" s="112">
        <v>99937.5</v>
      </c>
      <c r="G20" s="29" t="s">
        <v>354</v>
      </c>
      <c r="H20" s="115">
        <v>42789</v>
      </c>
      <c r="I20" s="114">
        <v>0</v>
      </c>
    </row>
    <row r="21" spans="1:9" s="6" customFormat="1" ht="38.25" x14ac:dyDescent="0.2">
      <c r="A21" s="109">
        <v>15</v>
      </c>
      <c r="B21" s="42" t="s">
        <v>355</v>
      </c>
      <c r="C21" s="40" t="s">
        <v>326</v>
      </c>
      <c r="D21" s="40" t="s">
        <v>253</v>
      </c>
      <c r="E21" s="40" t="s">
        <v>356</v>
      </c>
      <c r="F21" s="112">
        <v>116250</v>
      </c>
      <c r="G21" s="29" t="s">
        <v>357</v>
      </c>
      <c r="H21" s="115">
        <v>42794</v>
      </c>
      <c r="I21" s="114">
        <v>0</v>
      </c>
    </row>
    <row r="22" spans="1:9" s="6" customFormat="1" ht="38.25" x14ac:dyDescent="0.2">
      <c r="A22" s="109">
        <v>16</v>
      </c>
      <c r="B22" s="42" t="s">
        <v>365</v>
      </c>
      <c r="C22" s="40" t="s">
        <v>326</v>
      </c>
      <c r="D22" s="40" t="s">
        <v>253</v>
      </c>
      <c r="E22" s="40" t="s">
        <v>317</v>
      </c>
      <c r="F22" s="112">
        <v>28734.38</v>
      </c>
      <c r="G22" s="29" t="s">
        <v>366</v>
      </c>
      <c r="H22" s="115">
        <v>42794</v>
      </c>
      <c r="I22" s="114">
        <v>0</v>
      </c>
    </row>
    <row r="23" spans="1:9" s="6" customFormat="1" ht="38.25" x14ac:dyDescent="0.2">
      <c r="A23" s="109">
        <v>17</v>
      </c>
      <c r="B23" s="42" t="s">
        <v>4153</v>
      </c>
      <c r="C23" s="40" t="s">
        <v>370</v>
      </c>
      <c r="D23" s="40" t="s">
        <v>253</v>
      </c>
      <c r="E23" s="40" t="s">
        <v>4149</v>
      </c>
      <c r="F23" s="112">
        <v>89062.5</v>
      </c>
      <c r="G23" s="29" t="s">
        <v>371</v>
      </c>
      <c r="H23" s="115">
        <v>42788</v>
      </c>
      <c r="I23" s="114">
        <v>39812.5</v>
      </c>
    </row>
    <row r="24" spans="1:9" s="6" customFormat="1" ht="38.25" x14ac:dyDescent="0.2">
      <c r="A24" s="109">
        <v>18</v>
      </c>
      <c r="B24" s="42" t="s">
        <v>398</v>
      </c>
      <c r="C24" s="40" t="s">
        <v>399</v>
      </c>
      <c r="D24" s="40" t="s">
        <v>253</v>
      </c>
      <c r="E24" s="40" t="s">
        <v>400</v>
      </c>
      <c r="F24" s="112">
        <v>49625</v>
      </c>
      <c r="G24" s="29" t="s">
        <v>401</v>
      </c>
      <c r="H24" s="115">
        <v>42789</v>
      </c>
      <c r="I24" s="114">
        <v>0</v>
      </c>
    </row>
    <row r="25" spans="1:9" s="6" customFormat="1" ht="38.25" x14ac:dyDescent="0.2">
      <c r="A25" s="109">
        <v>19</v>
      </c>
      <c r="B25" s="42" t="s">
        <v>402</v>
      </c>
      <c r="C25" s="40" t="s">
        <v>403</v>
      </c>
      <c r="D25" s="40" t="s">
        <v>253</v>
      </c>
      <c r="E25" s="40" t="s">
        <v>404</v>
      </c>
      <c r="F25" s="112">
        <v>37902.5</v>
      </c>
      <c r="G25" s="29" t="s">
        <v>406</v>
      </c>
      <c r="H25" s="115" t="s">
        <v>405</v>
      </c>
      <c r="I25" s="114">
        <v>9500</v>
      </c>
    </row>
    <row r="26" spans="1:9" s="6" customFormat="1" ht="38.25" x14ac:dyDescent="0.2">
      <c r="A26" s="109">
        <v>20</v>
      </c>
      <c r="B26" s="42" t="s">
        <v>456</v>
      </c>
      <c r="C26" s="40" t="s">
        <v>457</v>
      </c>
      <c r="D26" s="40" t="s">
        <v>253</v>
      </c>
      <c r="E26" s="40" t="s">
        <v>458</v>
      </c>
      <c r="F26" s="112">
        <v>32625</v>
      </c>
      <c r="G26" s="29" t="s">
        <v>459</v>
      </c>
      <c r="H26" s="115">
        <v>42795</v>
      </c>
      <c r="I26" s="114">
        <v>0</v>
      </c>
    </row>
    <row r="27" spans="1:9" s="6" customFormat="1" ht="38.25" x14ac:dyDescent="0.2">
      <c r="A27" s="109">
        <v>21</v>
      </c>
      <c r="B27" s="42" t="s">
        <v>521</v>
      </c>
      <c r="C27" s="40" t="s">
        <v>522</v>
      </c>
      <c r="D27" s="40" t="s">
        <v>253</v>
      </c>
      <c r="E27" s="40" t="s">
        <v>301</v>
      </c>
      <c r="F27" s="112">
        <v>55920.25</v>
      </c>
      <c r="G27" s="29" t="s">
        <v>523</v>
      </c>
      <c r="H27" s="115">
        <v>42808</v>
      </c>
      <c r="I27" s="114">
        <v>28589.31</v>
      </c>
    </row>
    <row r="28" spans="1:9" s="6" customFormat="1" ht="38.25" x14ac:dyDescent="0.2">
      <c r="A28" s="109">
        <v>22</v>
      </c>
      <c r="B28" s="42" t="s">
        <v>524</v>
      </c>
      <c r="C28" s="40" t="s">
        <v>525</v>
      </c>
      <c r="D28" s="40" t="s">
        <v>253</v>
      </c>
      <c r="E28" s="40" t="s">
        <v>526</v>
      </c>
      <c r="F28" s="112">
        <v>176186.92</v>
      </c>
      <c r="G28" s="29" t="s">
        <v>527</v>
      </c>
      <c r="H28" s="115">
        <v>42792</v>
      </c>
      <c r="I28" s="114">
        <v>0</v>
      </c>
    </row>
    <row r="29" spans="1:9" s="6" customFormat="1" ht="38.25" x14ac:dyDescent="0.2">
      <c r="A29" s="109">
        <v>23</v>
      </c>
      <c r="B29" s="42" t="s">
        <v>528</v>
      </c>
      <c r="C29" s="40" t="s">
        <v>529</v>
      </c>
      <c r="D29" s="40" t="s">
        <v>253</v>
      </c>
      <c r="E29" s="40" t="s">
        <v>530</v>
      </c>
      <c r="F29" s="114">
        <v>74743.25</v>
      </c>
      <c r="G29" s="29" t="s">
        <v>546</v>
      </c>
      <c r="H29" s="115">
        <v>42760</v>
      </c>
      <c r="I29" s="114">
        <v>2475</v>
      </c>
    </row>
    <row r="30" spans="1:9" s="6" customFormat="1" ht="38.25" x14ac:dyDescent="0.2">
      <c r="A30" s="109">
        <v>24</v>
      </c>
      <c r="B30" s="42" t="s">
        <v>532</v>
      </c>
      <c r="C30" s="117" t="s">
        <v>531</v>
      </c>
      <c r="D30" s="40" t="s">
        <v>253</v>
      </c>
      <c r="E30" s="104" t="s">
        <v>533</v>
      </c>
      <c r="F30" s="114">
        <v>23918.18</v>
      </c>
      <c r="G30" s="29" t="s">
        <v>547</v>
      </c>
      <c r="H30" s="115">
        <v>42757</v>
      </c>
      <c r="I30" s="114">
        <v>13031.45</v>
      </c>
    </row>
    <row r="31" spans="1:9" s="6" customFormat="1" ht="38.25" x14ac:dyDescent="0.2">
      <c r="A31" s="109">
        <v>25</v>
      </c>
      <c r="B31" s="42" t="s">
        <v>532</v>
      </c>
      <c r="C31" s="118" t="s">
        <v>531</v>
      </c>
      <c r="D31" s="40" t="s">
        <v>253</v>
      </c>
      <c r="E31" s="104" t="s">
        <v>533</v>
      </c>
      <c r="F31" s="114">
        <v>13189.6</v>
      </c>
      <c r="G31" s="29" t="s">
        <v>548</v>
      </c>
      <c r="H31" s="115">
        <v>42757</v>
      </c>
      <c r="I31" s="114">
        <v>9453.2000000000007</v>
      </c>
    </row>
    <row r="32" spans="1:9" s="6" customFormat="1" ht="38.25" x14ac:dyDescent="0.2">
      <c r="A32" s="109">
        <v>26</v>
      </c>
      <c r="B32" s="42" t="s">
        <v>532</v>
      </c>
      <c r="C32" s="117" t="s">
        <v>531</v>
      </c>
      <c r="D32" s="40" t="s">
        <v>253</v>
      </c>
      <c r="E32" s="104" t="s">
        <v>533</v>
      </c>
      <c r="F32" s="114">
        <v>4955.6400000000003</v>
      </c>
      <c r="G32" s="29" t="s">
        <v>549</v>
      </c>
      <c r="H32" s="115">
        <v>42757</v>
      </c>
      <c r="I32" s="114">
        <v>485.49</v>
      </c>
    </row>
    <row r="33" spans="1:9" s="6" customFormat="1" ht="38.25" x14ac:dyDescent="0.2">
      <c r="A33" s="109">
        <v>27</v>
      </c>
      <c r="B33" s="110" t="s">
        <v>534</v>
      </c>
      <c r="C33" s="111" t="s">
        <v>535</v>
      </c>
      <c r="D33" s="40" t="s">
        <v>253</v>
      </c>
      <c r="E33" s="104" t="s">
        <v>536</v>
      </c>
      <c r="F33" s="114">
        <v>16500</v>
      </c>
      <c r="G33" s="29" t="s">
        <v>550</v>
      </c>
      <c r="H33" s="115">
        <v>42757</v>
      </c>
      <c r="I33" s="114">
        <v>14185</v>
      </c>
    </row>
    <row r="34" spans="1:9" s="6" customFormat="1" ht="38.25" x14ac:dyDescent="0.2">
      <c r="A34" s="109">
        <v>28</v>
      </c>
      <c r="B34" s="110" t="s">
        <v>545</v>
      </c>
      <c r="C34" s="111" t="s">
        <v>537</v>
      </c>
      <c r="D34" s="40" t="s">
        <v>253</v>
      </c>
      <c r="E34" s="115" t="s">
        <v>538</v>
      </c>
      <c r="F34" s="114">
        <v>2375</v>
      </c>
      <c r="G34" s="29" t="s">
        <v>551</v>
      </c>
      <c r="H34" s="115">
        <v>42506</v>
      </c>
      <c r="I34" s="114">
        <v>2375</v>
      </c>
    </row>
    <row r="35" spans="1:9" s="6" customFormat="1" ht="38.25" x14ac:dyDescent="0.2">
      <c r="A35" s="109">
        <v>29</v>
      </c>
      <c r="B35" s="42" t="s">
        <v>544</v>
      </c>
      <c r="C35" s="111" t="s">
        <v>539</v>
      </c>
      <c r="D35" s="40" t="s">
        <v>253</v>
      </c>
      <c r="E35" s="40" t="s">
        <v>540</v>
      </c>
      <c r="F35" s="114">
        <v>4361.7</v>
      </c>
      <c r="G35" s="29" t="s">
        <v>552</v>
      </c>
      <c r="H35" s="115">
        <v>42812</v>
      </c>
      <c r="I35" s="114">
        <v>2907.8</v>
      </c>
    </row>
    <row r="36" spans="1:9" s="6" customFormat="1" ht="38.25" x14ac:dyDescent="0.2">
      <c r="A36" s="109">
        <v>30</v>
      </c>
      <c r="B36" s="42" t="s">
        <v>541</v>
      </c>
      <c r="C36" s="40" t="s">
        <v>542</v>
      </c>
      <c r="D36" s="40" t="s">
        <v>253</v>
      </c>
      <c r="E36" s="40" t="s">
        <v>543</v>
      </c>
      <c r="F36" s="114">
        <v>59306.25</v>
      </c>
      <c r="G36" s="29" t="s">
        <v>553</v>
      </c>
      <c r="H36" s="115">
        <v>42780</v>
      </c>
      <c r="I36" s="119">
        <v>39937.51</v>
      </c>
    </row>
    <row r="37" spans="1:9" s="6" customFormat="1" ht="38.25" x14ac:dyDescent="0.2">
      <c r="A37" s="109">
        <v>31</v>
      </c>
      <c r="B37" s="42" t="s">
        <v>557</v>
      </c>
      <c r="C37" s="40" t="s">
        <v>558</v>
      </c>
      <c r="D37" s="40" t="s">
        <v>253</v>
      </c>
      <c r="E37" s="40" t="s">
        <v>559</v>
      </c>
      <c r="F37" s="114">
        <v>225000</v>
      </c>
      <c r="G37" s="29" t="s">
        <v>560</v>
      </c>
      <c r="H37" s="115">
        <v>42809</v>
      </c>
      <c r="I37" s="114">
        <v>150000</v>
      </c>
    </row>
    <row r="38" spans="1:9" s="6" customFormat="1" ht="38.25" x14ac:dyDescent="0.2">
      <c r="A38" s="109">
        <v>32</v>
      </c>
      <c r="B38" s="42" t="s">
        <v>561</v>
      </c>
      <c r="C38" s="40" t="s">
        <v>562</v>
      </c>
      <c r="D38" s="40" t="s">
        <v>253</v>
      </c>
      <c r="E38" s="40" t="s">
        <v>563</v>
      </c>
      <c r="F38" s="114">
        <v>206000</v>
      </c>
      <c r="G38" s="29" t="s">
        <v>564</v>
      </c>
      <c r="H38" s="115">
        <v>42776</v>
      </c>
      <c r="I38" s="114">
        <v>152733.75</v>
      </c>
    </row>
    <row r="39" spans="1:9" s="6" customFormat="1" ht="38.25" x14ac:dyDescent="0.2">
      <c r="A39" s="109">
        <v>33</v>
      </c>
      <c r="B39" s="42" t="s">
        <v>569</v>
      </c>
      <c r="C39" s="40" t="s">
        <v>570</v>
      </c>
      <c r="D39" s="40" t="s">
        <v>253</v>
      </c>
      <c r="E39" s="40" t="s">
        <v>530</v>
      </c>
      <c r="F39" s="114">
        <v>150000</v>
      </c>
      <c r="G39" s="29" t="s">
        <v>571</v>
      </c>
      <c r="H39" s="115">
        <v>42809</v>
      </c>
      <c r="I39" s="114">
        <v>75000</v>
      </c>
    </row>
    <row r="40" spans="1:9" s="6" customFormat="1" ht="38.25" x14ac:dyDescent="0.2">
      <c r="A40" s="109">
        <v>34</v>
      </c>
      <c r="B40" s="42" t="s">
        <v>572</v>
      </c>
      <c r="C40" s="40" t="s">
        <v>573</v>
      </c>
      <c r="D40" s="40" t="s">
        <v>253</v>
      </c>
      <c r="E40" s="40" t="s">
        <v>574</v>
      </c>
      <c r="F40" s="114">
        <v>107737.5</v>
      </c>
      <c r="G40" s="36" t="s">
        <v>575</v>
      </c>
      <c r="H40" s="115">
        <v>42809</v>
      </c>
      <c r="I40" s="114">
        <v>71825.039999999994</v>
      </c>
    </row>
    <row r="41" spans="1:9" s="6" customFormat="1" ht="38.25" x14ac:dyDescent="0.2">
      <c r="A41" s="109">
        <v>35</v>
      </c>
      <c r="B41" s="42" t="s">
        <v>576</v>
      </c>
      <c r="C41" s="40" t="s">
        <v>577</v>
      </c>
      <c r="D41" s="40" t="s">
        <v>253</v>
      </c>
      <c r="E41" s="40" t="s">
        <v>578</v>
      </c>
      <c r="F41" s="114">
        <v>25165.5</v>
      </c>
      <c r="G41" s="104" t="s">
        <v>579</v>
      </c>
      <c r="H41" s="115">
        <v>42799</v>
      </c>
      <c r="I41" s="114">
        <v>4558.51</v>
      </c>
    </row>
    <row r="42" spans="1:9" s="6" customFormat="1" ht="38.25" x14ac:dyDescent="0.2">
      <c r="A42" s="109">
        <v>36</v>
      </c>
      <c r="B42" s="42" t="s">
        <v>580</v>
      </c>
      <c r="C42" s="120" t="s">
        <v>583</v>
      </c>
      <c r="D42" s="38" t="s">
        <v>253</v>
      </c>
      <c r="E42" s="120" t="s">
        <v>586</v>
      </c>
      <c r="F42" s="119">
        <v>27500</v>
      </c>
      <c r="G42" s="29" t="s">
        <v>589</v>
      </c>
      <c r="H42" s="121">
        <v>42797</v>
      </c>
      <c r="I42" s="119">
        <v>15087.5</v>
      </c>
    </row>
    <row r="43" spans="1:9" s="6" customFormat="1" ht="38.25" x14ac:dyDescent="0.2">
      <c r="A43" s="109">
        <v>37</v>
      </c>
      <c r="B43" s="38" t="s">
        <v>581</v>
      </c>
      <c r="C43" s="38" t="s">
        <v>584</v>
      </c>
      <c r="D43" s="38" t="s">
        <v>253</v>
      </c>
      <c r="E43" s="38" t="s">
        <v>587</v>
      </c>
      <c r="F43" s="119">
        <v>31737.5</v>
      </c>
      <c r="G43" s="29" t="s">
        <v>590</v>
      </c>
      <c r="H43" s="121">
        <v>42801</v>
      </c>
      <c r="I43" s="119">
        <v>30313.75</v>
      </c>
    </row>
    <row r="44" spans="1:9" s="6" customFormat="1" ht="38.25" x14ac:dyDescent="0.2">
      <c r="A44" s="109">
        <v>38</v>
      </c>
      <c r="B44" s="38" t="s">
        <v>582</v>
      </c>
      <c r="C44" s="120" t="s">
        <v>585</v>
      </c>
      <c r="D44" s="38" t="s">
        <v>253</v>
      </c>
      <c r="E44" s="38" t="s">
        <v>588</v>
      </c>
      <c r="F44" s="119">
        <v>49600</v>
      </c>
      <c r="G44" s="29" t="s">
        <v>591</v>
      </c>
      <c r="H44" s="121">
        <v>42804</v>
      </c>
      <c r="I44" s="119">
        <v>33066.639999999999</v>
      </c>
    </row>
    <row r="45" spans="1:9" s="6" customFormat="1" ht="38.25" x14ac:dyDescent="0.2">
      <c r="A45" s="109">
        <v>39</v>
      </c>
      <c r="B45" s="42" t="s">
        <v>597</v>
      </c>
      <c r="C45" s="40" t="s">
        <v>522</v>
      </c>
      <c r="D45" s="38" t="s">
        <v>253</v>
      </c>
      <c r="E45" s="104" t="s">
        <v>598</v>
      </c>
      <c r="F45" s="114">
        <v>107500</v>
      </c>
      <c r="G45" s="29" t="s">
        <v>599</v>
      </c>
      <c r="H45" s="115">
        <v>42808</v>
      </c>
      <c r="I45" s="114">
        <v>0</v>
      </c>
    </row>
    <row r="46" spans="1:9" s="6" customFormat="1" ht="38.25" x14ac:dyDescent="0.2">
      <c r="A46" s="109">
        <v>40</v>
      </c>
      <c r="B46" s="42" t="s">
        <v>597</v>
      </c>
      <c r="C46" s="40" t="s">
        <v>522</v>
      </c>
      <c r="D46" s="38" t="s">
        <v>253</v>
      </c>
      <c r="E46" s="104" t="s">
        <v>598</v>
      </c>
      <c r="F46" s="114">
        <v>21125</v>
      </c>
      <c r="G46" s="29" t="s">
        <v>600</v>
      </c>
      <c r="H46" s="115">
        <v>42808</v>
      </c>
      <c r="I46" s="114">
        <v>0</v>
      </c>
    </row>
    <row r="47" spans="1:9" s="6" customFormat="1" ht="38.25" x14ac:dyDescent="0.2">
      <c r="A47" s="109">
        <v>41</v>
      </c>
      <c r="B47" s="42" t="s">
        <v>601</v>
      </c>
      <c r="C47" s="40" t="s">
        <v>602</v>
      </c>
      <c r="D47" s="38" t="s">
        <v>253</v>
      </c>
      <c r="E47" s="40" t="s">
        <v>603</v>
      </c>
      <c r="F47" s="114">
        <v>120240.34</v>
      </c>
      <c r="G47" s="29" t="s">
        <v>604</v>
      </c>
      <c r="H47" s="115">
        <v>42818</v>
      </c>
      <c r="I47" s="114">
        <v>46158.97</v>
      </c>
    </row>
    <row r="48" spans="1:9" s="6" customFormat="1" ht="38.25" x14ac:dyDescent="0.2">
      <c r="A48" s="109">
        <v>42</v>
      </c>
      <c r="B48" s="42" t="s">
        <v>605</v>
      </c>
      <c r="C48" s="40" t="s">
        <v>606</v>
      </c>
      <c r="D48" s="38" t="s">
        <v>253</v>
      </c>
      <c r="E48" s="40" t="s">
        <v>294</v>
      </c>
      <c r="F48" s="114">
        <v>87413.75</v>
      </c>
      <c r="G48" s="29" t="s">
        <v>607</v>
      </c>
      <c r="H48" s="115">
        <v>42817</v>
      </c>
      <c r="I48" s="114">
        <v>0</v>
      </c>
    </row>
    <row r="49" spans="1:9" s="6" customFormat="1" ht="38.25" x14ac:dyDescent="0.2">
      <c r="A49" s="109">
        <v>43</v>
      </c>
      <c r="B49" s="42" t="s">
        <v>608</v>
      </c>
      <c r="C49" s="40" t="s">
        <v>609</v>
      </c>
      <c r="D49" s="38" t="s">
        <v>253</v>
      </c>
      <c r="E49" s="40" t="s">
        <v>78</v>
      </c>
      <c r="F49" s="114">
        <v>48599</v>
      </c>
      <c r="G49" s="29" t="s">
        <v>610</v>
      </c>
      <c r="H49" s="115">
        <v>42819</v>
      </c>
      <c r="I49" s="114">
        <v>0</v>
      </c>
    </row>
    <row r="50" spans="1:9" s="6" customFormat="1" ht="38.25" x14ac:dyDescent="0.2">
      <c r="A50" s="109">
        <v>44</v>
      </c>
      <c r="B50" s="42" t="s">
        <v>611</v>
      </c>
      <c r="C50" s="40" t="s">
        <v>609</v>
      </c>
      <c r="D50" s="38" t="s">
        <v>253</v>
      </c>
      <c r="E50" s="40" t="s">
        <v>612</v>
      </c>
      <c r="F50" s="114">
        <v>9346</v>
      </c>
      <c r="G50" s="29" t="s">
        <v>613</v>
      </c>
      <c r="H50" s="115">
        <v>42819</v>
      </c>
      <c r="I50" s="114">
        <v>0</v>
      </c>
    </row>
    <row r="51" spans="1:9" s="6" customFormat="1" ht="38.25" x14ac:dyDescent="0.2">
      <c r="A51" s="109">
        <v>45</v>
      </c>
      <c r="B51" s="42" t="s">
        <v>616</v>
      </c>
      <c r="C51" s="40" t="s">
        <v>403</v>
      </c>
      <c r="D51" s="38" t="s">
        <v>253</v>
      </c>
      <c r="E51" s="40" t="s">
        <v>617</v>
      </c>
      <c r="F51" s="114">
        <v>43075.08</v>
      </c>
      <c r="G51" s="29" t="s">
        <v>618</v>
      </c>
      <c r="H51" s="115">
        <v>42816</v>
      </c>
      <c r="I51" s="114">
        <v>6688.85</v>
      </c>
    </row>
    <row r="52" spans="1:9" s="6" customFormat="1" ht="38.25" x14ac:dyDescent="0.2">
      <c r="A52" s="109">
        <v>46</v>
      </c>
      <c r="B52" s="42" t="s">
        <v>619</v>
      </c>
      <c r="C52" s="40" t="s">
        <v>609</v>
      </c>
      <c r="D52" s="38" t="s">
        <v>253</v>
      </c>
      <c r="E52" s="40" t="s">
        <v>620</v>
      </c>
      <c r="F52" s="114">
        <v>72458.75</v>
      </c>
      <c r="G52" s="29" t="s">
        <v>621</v>
      </c>
      <c r="H52" s="115">
        <v>42819</v>
      </c>
      <c r="I52" s="114">
        <v>38297.5</v>
      </c>
    </row>
    <row r="53" spans="1:9" s="6" customFormat="1" ht="38.25" x14ac:dyDescent="0.2">
      <c r="A53" s="109">
        <v>47</v>
      </c>
      <c r="B53" s="42" t="s">
        <v>622</v>
      </c>
      <c r="C53" s="40" t="s">
        <v>623</v>
      </c>
      <c r="D53" s="38" t="s">
        <v>253</v>
      </c>
      <c r="E53" s="40" t="s">
        <v>624</v>
      </c>
      <c r="F53" s="114">
        <v>136793.75</v>
      </c>
      <c r="G53" s="29" t="s">
        <v>625</v>
      </c>
      <c r="H53" s="115">
        <v>42825</v>
      </c>
      <c r="I53" s="114">
        <v>56121.35</v>
      </c>
    </row>
    <row r="54" spans="1:9" s="6" customFormat="1" ht="38.25" x14ac:dyDescent="0.2">
      <c r="A54" s="109">
        <v>48</v>
      </c>
      <c r="B54" s="42" t="s">
        <v>636</v>
      </c>
      <c r="C54" s="40" t="s">
        <v>637</v>
      </c>
      <c r="D54" s="38" t="s">
        <v>253</v>
      </c>
      <c r="E54" s="40" t="s">
        <v>638</v>
      </c>
      <c r="F54" s="114">
        <v>32437.5</v>
      </c>
      <c r="G54" s="29" t="s">
        <v>639</v>
      </c>
      <c r="H54" s="115">
        <v>42830</v>
      </c>
      <c r="I54" s="114">
        <v>0</v>
      </c>
    </row>
    <row r="55" spans="1:9" s="6" customFormat="1" ht="38.25" x14ac:dyDescent="0.2">
      <c r="A55" s="109">
        <v>49</v>
      </c>
      <c r="B55" s="42" t="s">
        <v>653</v>
      </c>
      <c r="C55" s="40" t="s">
        <v>637</v>
      </c>
      <c r="D55" s="38" t="s">
        <v>253</v>
      </c>
      <c r="E55" s="40" t="s">
        <v>654</v>
      </c>
      <c r="F55" s="114">
        <v>68160</v>
      </c>
      <c r="G55" s="29" t="s">
        <v>655</v>
      </c>
      <c r="H55" s="115">
        <v>42830</v>
      </c>
      <c r="I55" s="114">
        <v>0</v>
      </c>
    </row>
    <row r="56" spans="1:9" s="6" customFormat="1" ht="38.25" x14ac:dyDescent="0.2">
      <c r="A56" s="109">
        <v>50</v>
      </c>
      <c r="B56" s="42" t="s">
        <v>656</v>
      </c>
      <c r="C56" s="40" t="s">
        <v>637</v>
      </c>
      <c r="D56" s="38" t="s">
        <v>253</v>
      </c>
      <c r="E56" s="40" t="s">
        <v>49</v>
      </c>
      <c r="F56" s="114">
        <v>26031.25</v>
      </c>
      <c r="G56" s="29" t="s">
        <v>657</v>
      </c>
      <c r="H56" s="115">
        <v>42830</v>
      </c>
      <c r="I56" s="114">
        <v>0</v>
      </c>
    </row>
    <row r="57" spans="1:9" s="6" customFormat="1" ht="38.25" x14ac:dyDescent="0.2">
      <c r="A57" s="109">
        <v>51</v>
      </c>
      <c r="B57" s="42" t="s">
        <v>658</v>
      </c>
      <c r="C57" s="40" t="s">
        <v>659</v>
      </c>
      <c r="D57" s="38" t="s">
        <v>253</v>
      </c>
      <c r="E57" s="104" t="s">
        <v>660</v>
      </c>
      <c r="F57" s="114">
        <v>15618.75</v>
      </c>
      <c r="G57" s="29" t="s">
        <v>661</v>
      </c>
      <c r="H57" s="115">
        <v>42829</v>
      </c>
      <c r="I57" s="114">
        <v>0</v>
      </c>
    </row>
    <row r="58" spans="1:9" s="6" customFormat="1" ht="38.25" x14ac:dyDescent="0.2">
      <c r="A58" s="109">
        <v>52</v>
      </c>
      <c r="B58" s="42" t="s">
        <v>662</v>
      </c>
      <c r="C58" s="40" t="s">
        <v>663</v>
      </c>
      <c r="D58" s="38" t="s">
        <v>253</v>
      </c>
      <c r="E58" s="104" t="s">
        <v>664</v>
      </c>
      <c r="F58" s="114">
        <v>162541</v>
      </c>
      <c r="G58" s="29" t="s">
        <v>665</v>
      </c>
      <c r="H58" s="115">
        <v>42820</v>
      </c>
      <c r="I58" s="114">
        <v>1673.6</v>
      </c>
    </row>
    <row r="59" spans="1:9" s="6" customFormat="1" ht="38.25" x14ac:dyDescent="0.2">
      <c r="A59" s="109">
        <v>53</v>
      </c>
      <c r="B59" s="42" t="s">
        <v>666</v>
      </c>
      <c r="C59" s="40"/>
      <c r="D59" s="38" t="s">
        <v>253</v>
      </c>
      <c r="E59" s="40" t="s">
        <v>667</v>
      </c>
      <c r="F59" s="114">
        <v>49025</v>
      </c>
      <c r="G59" s="29" t="s">
        <v>668</v>
      </c>
      <c r="H59" s="115" t="s">
        <v>4154</v>
      </c>
      <c r="I59" s="114">
        <v>48847.25</v>
      </c>
    </row>
    <row r="60" spans="1:9" s="6" customFormat="1" ht="38.25" x14ac:dyDescent="0.2">
      <c r="A60" s="109">
        <v>54</v>
      </c>
      <c r="B60" s="42" t="s">
        <v>678</v>
      </c>
      <c r="C60" s="40" t="s">
        <v>679</v>
      </c>
      <c r="D60" s="38" t="s">
        <v>253</v>
      </c>
      <c r="E60" s="40" t="s">
        <v>574</v>
      </c>
      <c r="F60" s="114">
        <v>86831.4</v>
      </c>
      <c r="G60" s="29" t="s">
        <v>680</v>
      </c>
      <c r="H60" s="115">
        <v>42836</v>
      </c>
      <c r="I60" s="114">
        <v>0</v>
      </c>
    </row>
    <row r="61" spans="1:9" s="6" customFormat="1" ht="38.25" x14ac:dyDescent="0.2">
      <c r="A61" s="109">
        <v>55</v>
      </c>
      <c r="B61" s="42" t="s">
        <v>692</v>
      </c>
      <c r="C61" s="40" t="s">
        <v>693</v>
      </c>
      <c r="D61" s="38" t="s">
        <v>253</v>
      </c>
      <c r="E61" s="40" t="s">
        <v>694</v>
      </c>
      <c r="F61" s="114">
        <v>136516.25</v>
      </c>
      <c r="G61" s="29" t="s">
        <v>695</v>
      </c>
      <c r="H61" s="115">
        <v>42836</v>
      </c>
      <c r="I61" s="114">
        <v>47447.05</v>
      </c>
    </row>
    <row r="62" spans="1:9" s="6" customFormat="1" ht="38.25" x14ac:dyDescent="0.2">
      <c r="A62" s="109">
        <v>56</v>
      </c>
      <c r="B62" s="42" t="s">
        <v>703</v>
      </c>
      <c r="C62" s="40" t="s">
        <v>704</v>
      </c>
      <c r="D62" s="38" t="s">
        <v>253</v>
      </c>
      <c r="E62" s="40" t="s">
        <v>294</v>
      </c>
      <c r="F62" s="114">
        <f>133066.25+15002.9</f>
        <v>148069.15</v>
      </c>
      <c r="G62" s="29" t="s">
        <v>705</v>
      </c>
      <c r="H62" s="115">
        <v>42845</v>
      </c>
      <c r="I62" s="114">
        <v>34442.5</v>
      </c>
    </row>
    <row r="63" spans="1:9" s="6" customFormat="1" ht="38.25" x14ac:dyDescent="0.2">
      <c r="A63" s="109">
        <v>57</v>
      </c>
      <c r="B63" s="42" t="s">
        <v>706</v>
      </c>
      <c r="C63" s="40"/>
      <c r="D63" s="38" t="s">
        <v>253</v>
      </c>
      <c r="E63" s="40" t="s">
        <v>707</v>
      </c>
      <c r="F63" s="114">
        <v>145500</v>
      </c>
      <c r="G63" s="29" t="s">
        <v>708</v>
      </c>
      <c r="H63" s="115">
        <v>42845</v>
      </c>
      <c r="I63" s="114">
        <v>145500</v>
      </c>
    </row>
    <row r="64" spans="1:9" s="6" customFormat="1" ht="38.25" x14ac:dyDescent="0.2">
      <c r="A64" s="109">
        <v>58</v>
      </c>
      <c r="B64" s="42" t="s">
        <v>709</v>
      </c>
      <c r="C64" s="40" t="s">
        <v>457</v>
      </c>
      <c r="D64" s="38" t="s">
        <v>253</v>
      </c>
      <c r="E64" s="40" t="s">
        <v>538</v>
      </c>
      <c r="F64" s="114">
        <f>90000+61875</f>
        <v>151875</v>
      </c>
      <c r="G64" s="29" t="s">
        <v>710</v>
      </c>
      <c r="H64" s="115">
        <v>42843</v>
      </c>
      <c r="I64" s="114">
        <v>38830</v>
      </c>
    </row>
    <row r="65" spans="1:9" s="6" customFormat="1" ht="38.25" x14ac:dyDescent="0.2">
      <c r="A65" s="109">
        <v>59</v>
      </c>
      <c r="B65" s="42" t="s">
        <v>711</v>
      </c>
      <c r="C65" s="40" t="s">
        <v>712</v>
      </c>
      <c r="D65" s="38" t="s">
        <v>253</v>
      </c>
      <c r="E65" s="40" t="s">
        <v>78</v>
      </c>
      <c r="F65" s="114">
        <v>187182.5</v>
      </c>
      <c r="G65" s="29" t="s">
        <v>713</v>
      </c>
      <c r="H65" s="115">
        <v>42847</v>
      </c>
      <c r="I65" s="114">
        <v>187182.5</v>
      </c>
    </row>
    <row r="66" spans="1:9" s="6" customFormat="1" ht="38.25" x14ac:dyDescent="0.2">
      <c r="A66" s="109">
        <v>60</v>
      </c>
      <c r="B66" s="93" t="s">
        <v>727</v>
      </c>
      <c r="C66" s="25" t="s">
        <v>728</v>
      </c>
      <c r="D66" s="22" t="s">
        <v>20</v>
      </c>
      <c r="E66" s="54" t="s">
        <v>729</v>
      </c>
      <c r="F66" s="8">
        <v>232541.96</v>
      </c>
      <c r="G66" s="29" t="s">
        <v>730</v>
      </c>
      <c r="H66" s="28">
        <v>42850</v>
      </c>
      <c r="I66" s="18">
        <v>31624</v>
      </c>
    </row>
    <row r="67" spans="1:9" s="6" customFormat="1" ht="38.25" x14ac:dyDescent="0.2">
      <c r="A67" s="109">
        <v>61</v>
      </c>
      <c r="B67" s="42" t="s">
        <v>739</v>
      </c>
      <c r="C67" s="40" t="s">
        <v>740</v>
      </c>
      <c r="D67" s="38" t="s">
        <v>253</v>
      </c>
      <c r="E67" s="40" t="s">
        <v>741</v>
      </c>
      <c r="F67" s="114">
        <v>91246.88</v>
      </c>
      <c r="G67" s="29" t="s">
        <v>742</v>
      </c>
      <c r="H67" s="115">
        <v>42852</v>
      </c>
      <c r="I67" s="114">
        <v>41626.559999999998</v>
      </c>
    </row>
    <row r="68" spans="1:9" s="6" customFormat="1" ht="51" x14ac:dyDescent="0.2">
      <c r="A68" s="109">
        <v>62</v>
      </c>
      <c r="B68" s="42" t="s">
        <v>765</v>
      </c>
      <c r="C68" s="40" t="s">
        <v>766</v>
      </c>
      <c r="D68" s="38" t="s">
        <v>253</v>
      </c>
      <c r="E68" s="40" t="s">
        <v>767</v>
      </c>
      <c r="F68" s="114">
        <v>243750</v>
      </c>
      <c r="G68" s="29" t="s">
        <v>768</v>
      </c>
      <c r="H68" s="115">
        <v>42852</v>
      </c>
      <c r="I68" s="114">
        <v>103824.75</v>
      </c>
    </row>
    <row r="69" spans="1:9" s="6" customFormat="1" ht="38.25" x14ac:dyDescent="0.2">
      <c r="A69" s="109">
        <v>63</v>
      </c>
      <c r="B69" s="42" t="s">
        <v>793</v>
      </c>
      <c r="C69" s="40" t="s">
        <v>794</v>
      </c>
      <c r="D69" s="38" t="s">
        <v>253</v>
      </c>
      <c r="E69" s="40" t="s">
        <v>795</v>
      </c>
      <c r="F69" s="114">
        <v>103625</v>
      </c>
      <c r="G69" s="29" t="s">
        <v>796</v>
      </c>
      <c r="H69" s="115">
        <v>42584</v>
      </c>
      <c r="I69" s="114">
        <v>103625</v>
      </c>
    </row>
    <row r="70" spans="1:9" s="6" customFormat="1" ht="38.25" x14ac:dyDescent="0.2">
      <c r="A70" s="109">
        <v>64</v>
      </c>
      <c r="B70" s="42" t="s">
        <v>818</v>
      </c>
      <c r="C70" s="40"/>
      <c r="D70" s="38" t="s">
        <v>253</v>
      </c>
      <c r="E70" s="40" t="s">
        <v>819</v>
      </c>
      <c r="F70" s="114">
        <f>180000*1.25</f>
        <v>225000</v>
      </c>
      <c r="G70" s="29" t="s">
        <v>820</v>
      </c>
      <c r="H70" s="115" t="s">
        <v>844</v>
      </c>
      <c r="I70" s="114">
        <v>218750</v>
      </c>
    </row>
    <row r="71" spans="1:9" s="6" customFormat="1" ht="38.25" x14ac:dyDescent="0.2">
      <c r="A71" s="109">
        <v>65</v>
      </c>
      <c r="B71" s="42" t="s">
        <v>841</v>
      </c>
      <c r="C71" s="40" t="s">
        <v>837</v>
      </c>
      <c r="D71" s="38" t="s">
        <v>253</v>
      </c>
      <c r="E71" s="104" t="s">
        <v>842</v>
      </c>
      <c r="F71" s="114">
        <v>129937.5</v>
      </c>
      <c r="G71" s="29" t="s">
        <v>843</v>
      </c>
      <c r="H71" s="115" t="s">
        <v>845</v>
      </c>
      <c r="I71" s="114">
        <v>43312.52</v>
      </c>
    </row>
    <row r="72" spans="1:9" s="6" customFormat="1" ht="38.25" x14ac:dyDescent="0.2">
      <c r="A72" s="109">
        <v>66</v>
      </c>
      <c r="B72" s="42" t="s">
        <v>863</v>
      </c>
      <c r="C72" s="40" t="s">
        <v>864</v>
      </c>
      <c r="D72" s="38" t="s">
        <v>253</v>
      </c>
      <c r="E72" s="40" t="s">
        <v>317</v>
      </c>
      <c r="F72" s="114">
        <f>9026.85+68222.7</f>
        <v>77249.55</v>
      </c>
      <c r="G72" s="29" t="s">
        <v>865</v>
      </c>
      <c r="H72" s="115" t="s">
        <v>866</v>
      </c>
      <c r="I72" s="114">
        <v>0</v>
      </c>
    </row>
    <row r="73" spans="1:9" s="6" customFormat="1" ht="38.25" x14ac:dyDescent="0.2">
      <c r="A73" s="109">
        <v>67</v>
      </c>
      <c r="B73" s="42" t="s">
        <v>917</v>
      </c>
      <c r="C73" s="40"/>
      <c r="D73" s="38" t="s">
        <v>253</v>
      </c>
      <c r="E73" s="104" t="s">
        <v>918</v>
      </c>
      <c r="F73" s="114">
        <v>86000</v>
      </c>
      <c r="G73" s="104" t="s">
        <v>919</v>
      </c>
      <c r="H73" s="115" t="s">
        <v>920</v>
      </c>
      <c r="I73" s="114">
        <v>68800</v>
      </c>
    </row>
    <row r="74" spans="1:9" s="122" customFormat="1" ht="25.5" x14ac:dyDescent="0.2">
      <c r="A74" s="109">
        <v>68</v>
      </c>
      <c r="B74" s="42" t="s">
        <v>959</v>
      </c>
      <c r="C74" s="40" t="s">
        <v>960</v>
      </c>
      <c r="D74" s="38" t="s">
        <v>253</v>
      </c>
      <c r="E74" s="40" t="s">
        <v>963</v>
      </c>
      <c r="F74" s="114">
        <v>102750</v>
      </c>
      <c r="G74" s="104" t="s">
        <v>962</v>
      </c>
      <c r="H74" s="115" t="s">
        <v>961</v>
      </c>
      <c r="I74" s="114">
        <v>10570</v>
      </c>
    </row>
    <row r="75" spans="1:9" s="122" customFormat="1" ht="25.5" x14ac:dyDescent="0.2">
      <c r="A75" s="109">
        <v>69</v>
      </c>
      <c r="B75" s="42" t="s">
        <v>972</v>
      </c>
      <c r="C75" s="40" t="s">
        <v>968</v>
      </c>
      <c r="D75" s="38" t="s">
        <v>253</v>
      </c>
      <c r="E75" s="40" t="s">
        <v>969</v>
      </c>
      <c r="F75" s="114">
        <v>91116.25</v>
      </c>
      <c r="G75" s="104" t="s">
        <v>970</v>
      </c>
      <c r="H75" s="115" t="s">
        <v>971</v>
      </c>
      <c r="I75" s="114">
        <v>48107.02</v>
      </c>
    </row>
    <row r="76" spans="1:9" s="122" customFormat="1" ht="38.25" x14ac:dyDescent="0.2">
      <c r="A76" s="109">
        <v>70</v>
      </c>
      <c r="B76" s="42" t="s">
        <v>976</v>
      </c>
      <c r="C76" s="40"/>
      <c r="D76" s="38" t="s">
        <v>253</v>
      </c>
      <c r="E76" s="40" t="s">
        <v>977</v>
      </c>
      <c r="F76" s="114">
        <v>99375</v>
      </c>
      <c r="G76" s="104" t="s">
        <v>979</v>
      </c>
      <c r="H76" s="115" t="s">
        <v>978</v>
      </c>
      <c r="I76" s="114">
        <v>71550</v>
      </c>
    </row>
    <row r="77" spans="1:9" s="122" customFormat="1" ht="25.5" x14ac:dyDescent="0.2">
      <c r="A77" s="109">
        <v>71</v>
      </c>
      <c r="B77" s="42" t="s">
        <v>982</v>
      </c>
      <c r="C77" s="40" t="s">
        <v>864</v>
      </c>
      <c r="D77" s="38" t="s">
        <v>253</v>
      </c>
      <c r="E77" s="40" t="s">
        <v>983</v>
      </c>
      <c r="F77" s="114">
        <v>13498.75</v>
      </c>
      <c r="G77" s="104" t="s">
        <v>984</v>
      </c>
      <c r="H77" s="115" t="s">
        <v>985</v>
      </c>
      <c r="I77" s="114">
        <v>0</v>
      </c>
    </row>
    <row r="78" spans="1:9" s="6" customFormat="1" ht="38.25" x14ac:dyDescent="0.2">
      <c r="A78" s="109">
        <v>72</v>
      </c>
      <c r="B78" s="104" t="s">
        <v>1076</v>
      </c>
      <c r="C78" s="111" t="s">
        <v>4176</v>
      </c>
      <c r="D78" s="38" t="s">
        <v>253</v>
      </c>
      <c r="E78" s="40" t="s">
        <v>1077</v>
      </c>
      <c r="F78" s="112">
        <v>217500</v>
      </c>
      <c r="G78" s="104" t="s">
        <v>1078</v>
      </c>
      <c r="H78" s="115" t="s">
        <v>4189</v>
      </c>
      <c r="I78" s="186">
        <v>0</v>
      </c>
    </row>
    <row r="79" spans="1:9" s="122" customFormat="1" ht="25.5" x14ac:dyDescent="0.2">
      <c r="A79" s="109">
        <v>73</v>
      </c>
      <c r="B79" s="42" t="s">
        <v>992</v>
      </c>
      <c r="C79" s="40" t="s">
        <v>993</v>
      </c>
      <c r="D79" s="38" t="s">
        <v>253</v>
      </c>
      <c r="E79" s="40" t="s">
        <v>994</v>
      </c>
      <c r="F79" s="114">
        <v>236456.88</v>
      </c>
      <c r="G79" s="104" t="s">
        <v>995</v>
      </c>
      <c r="H79" s="115" t="s">
        <v>996</v>
      </c>
      <c r="I79" s="114">
        <v>226468.21</v>
      </c>
    </row>
    <row r="80" spans="1:9" s="122" customFormat="1" ht="38.25" x14ac:dyDescent="0.2">
      <c r="A80" s="109">
        <v>74</v>
      </c>
      <c r="B80" s="42" t="s">
        <v>997</v>
      </c>
      <c r="C80" s="40" t="s">
        <v>998</v>
      </c>
      <c r="D80" s="38" t="s">
        <v>253</v>
      </c>
      <c r="E80" s="40" t="s">
        <v>211</v>
      </c>
      <c r="F80" s="114">
        <v>243748.46</v>
      </c>
      <c r="G80" s="104" t="s">
        <v>999</v>
      </c>
      <c r="H80" s="115" t="s">
        <v>1000</v>
      </c>
      <c r="I80" s="114">
        <v>20306.78</v>
      </c>
    </row>
    <row r="81" spans="1:9" s="122" customFormat="1" ht="25.5" x14ac:dyDescent="0.2">
      <c r="A81" s="109">
        <v>75</v>
      </c>
      <c r="B81" s="42" t="s">
        <v>1001</v>
      </c>
      <c r="C81" s="40" t="s">
        <v>1002</v>
      </c>
      <c r="D81" s="38" t="s">
        <v>253</v>
      </c>
      <c r="E81" s="40" t="s">
        <v>598</v>
      </c>
      <c r="F81" s="114">
        <v>187500</v>
      </c>
      <c r="G81" s="104" t="s">
        <v>1003</v>
      </c>
      <c r="H81" s="115" t="s">
        <v>1004</v>
      </c>
      <c r="I81" s="114">
        <v>46875</v>
      </c>
    </row>
    <row r="82" spans="1:9" s="122" customFormat="1" ht="25.5" x14ac:dyDescent="0.2">
      <c r="A82" s="109">
        <v>76</v>
      </c>
      <c r="B82" s="42" t="s">
        <v>1033</v>
      </c>
      <c r="C82" s="40" t="s">
        <v>1034</v>
      </c>
      <c r="D82" s="38" t="s">
        <v>253</v>
      </c>
      <c r="E82" s="40" t="s">
        <v>1035</v>
      </c>
      <c r="F82" s="114">
        <v>59216.25</v>
      </c>
      <c r="G82" s="104" t="s">
        <v>1036</v>
      </c>
      <c r="H82" s="115" t="s">
        <v>1037</v>
      </c>
      <c r="I82" s="114">
        <v>59216.25</v>
      </c>
    </row>
    <row r="83" spans="1:9" s="122" customFormat="1" ht="25.5" x14ac:dyDescent="0.2">
      <c r="A83" s="109">
        <v>77</v>
      </c>
      <c r="B83" s="42" t="s">
        <v>1083</v>
      </c>
      <c r="C83" s="40" t="s">
        <v>609</v>
      </c>
      <c r="D83" s="38" t="s">
        <v>253</v>
      </c>
      <c r="E83" s="40" t="s">
        <v>1084</v>
      </c>
      <c r="F83" s="114">
        <v>54048.75</v>
      </c>
      <c r="G83" s="104" t="s">
        <v>1085</v>
      </c>
      <c r="H83" s="115" t="s">
        <v>1037</v>
      </c>
      <c r="I83" s="114">
        <v>26912.5</v>
      </c>
    </row>
    <row r="84" spans="1:9" s="122" customFormat="1" ht="25.5" x14ac:dyDescent="0.2">
      <c r="A84" s="109">
        <v>78</v>
      </c>
      <c r="B84" s="42" t="s">
        <v>1086</v>
      </c>
      <c r="C84" s="40" t="s">
        <v>609</v>
      </c>
      <c r="D84" s="38" t="s">
        <v>253</v>
      </c>
      <c r="E84" s="40" t="s">
        <v>1084</v>
      </c>
      <c r="F84" s="114">
        <v>12401.25</v>
      </c>
      <c r="G84" s="104" t="s">
        <v>1087</v>
      </c>
      <c r="H84" s="115" t="s">
        <v>1037</v>
      </c>
      <c r="I84" s="114">
        <v>5031.25</v>
      </c>
    </row>
    <row r="85" spans="1:9" s="122" customFormat="1" ht="25.5" x14ac:dyDescent="0.2">
      <c r="A85" s="109">
        <v>79</v>
      </c>
      <c r="B85" s="42" t="s">
        <v>1098</v>
      </c>
      <c r="C85" s="40" t="s">
        <v>794</v>
      </c>
      <c r="D85" s="38" t="s">
        <v>253</v>
      </c>
      <c r="E85" s="40" t="s">
        <v>795</v>
      </c>
      <c r="F85" s="114">
        <v>111412.5</v>
      </c>
      <c r="G85" s="104" t="s">
        <v>1099</v>
      </c>
      <c r="H85" s="115" t="s">
        <v>1068</v>
      </c>
      <c r="I85" s="114">
        <v>0</v>
      </c>
    </row>
    <row r="86" spans="1:9" s="122" customFormat="1" ht="25.5" x14ac:dyDescent="0.2">
      <c r="A86" s="109">
        <v>80</v>
      </c>
      <c r="B86" s="42" t="s">
        <v>1104</v>
      </c>
      <c r="C86" s="40" t="s">
        <v>1100</v>
      </c>
      <c r="D86" s="38" t="s">
        <v>253</v>
      </c>
      <c r="E86" s="40" t="s">
        <v>1101</v>
      </c>
      <c r="F86" s="114">
        <v>56225</v>
      </c>
      <c r="G86" s="104" t="s">
        <v>1103</v>
      </c>
      <c r="H86" s="115" t="s">
        <v>1102</v>
      </c>
      <c r="I86" s="114">
        <v>375</v>
      </c>
    </row>
    <row r="87" spans="1:9" s="122" customFormat="1" ht="25.5" x14ac:dyDescent="0.2">
      <c r="A87" s="109">
        <v>81</v>
      </c>
      <c r="B87" s="42" t="s">
        <v>1105</v>
      </c>
      <c r="C87" s="40" t="s">
        <v>1106</v>
      </c>
      <c r="D87" s="38" t="s">
        <v>253</v>
      </c>
      <c r="E87" s="40" t="s">
        <v>1107</v>
      </c>
      <c r="F87" s="114">
        <v>139858.44</v>
      </c>
      <c r="G87" s="104" t="s">
        <v>1109</v>
      </c>
      <c r="H87" s="115" t="s">
        <v>1108</v>
      </c>
      <c r="I87" s="114">
        <v>110236.75</v>
      </c>
    </row>
    <row r="88" spans="1:9" s="122" customFormat="1" ht="25.5" x14ac:dyDescent="0.2">
      <c r="A88" s="109">
        <v>82</v>
      </c>
      <c r="B88" s="42" t="s">
        <v>1110</v>
      </c>
      <c r="C88" s="40" t="s">
        <v>1112</v>
      </c>
      <c r="D88" s="38" t="s">
        <v>253</v>
      </c>
      <c r="E88" s="40" t="s">
        <v>603</v>
      </c>
      <c r="F88" s="114">
        <v>49204.800000000003</v>
      </c>
      <c r="G88" s="104" t="s">
        <v>1113</v>
      </c>
      <c r="H88" s="115" t="s">
        <v>1037</v>
      </c>
      <c r="I88" s="114">
        <v>0</v>
      </c>
    </row>
    <row r="89" spans="1:9" s="122" customFormat="1" ht="25.5" x14ac:dyDescent="0.2">
      <c r="A89" s="109">
        <v>83</v>
      </c>
      <c r="B89" s="42" t="s">
        <v>1114</v>
      </c>
      <c r="C89" s="40" t="s">
        <v>1111</v>
      </c>
      <c r="D89" s="38" t="s">
        <v>253</v>
      </c>
      <c r="E89" s="40" t="s">
        <v>1115</v>
      </c>
      <c r="F89" s="114">
        <v>497775</v>
      </c>
      <c r="G89" s="104" t="s">
        <v>1116</v>
      </c>
      <c r="H89" s="115" t="s">
        <v>1108</v>
      </c>
      <c r="I89" s="114">
        <v>398100</v>
      </c>
    </row>
    <row r="90" spans="1:9" s="122" customFormat="1" ht="25.5" x14ac:dyDescent="0.2">
      <c r="A90" s="109">
        <v>84</v>
      </c>
      <c r="B90" s="42" t="s">
        <v>1118</v>
      </c>
      <c r="C90" s="40" t="s">
        <v>1117</v>
      </c>
      <c r="D90" s="38" t="s">
        <v>253</v>
      </c>
      <c r="E90" s="40" t="s">
        <v>977</v>
      </c>
      <c r="F90" s="114">
        <v>93125</v>
      </c>
      <c r="G90" s="104" t="s">
        <v>1119</v>
      </c>
      <c r="H90" s="115" t="s">
        <v>1108</v>
      </c>
      <c r="I90" s="114">
        <v>70775</v>
      </c>
    </row>
    <row r="91" spans="1:9" s="122" customFormat="1" ht="25.5" x14ac:dyDescent="0.2">
      <c r="A91" s="109">
        <v>85</v>
      </c>
      <c r="B91" s="42" t="s">
        <v>1157</v>
      </c>
      <c r="C91" s="40" t="s">
        <v>1158</v>
      </c>
      <c r="D91" s="38" t="s">
        <v>253</v>
      </c>
      <c r="E91" s="40" t="s">
        <v>1159</v>
      </c>
      <c r="F91" s="114">
        <v>49750</v>
      </c>
      <c r="G91" s="104" t="s">
        <v>1160</v>
      </c>
      <c r="H91" s="115" t="s">
        <v>1161</v>
      </c>
      <c r="I91" s="114">
        <v>0</v>
      </c>
    </row>
    <row r="92" spans="1:9" s="122" customFormat="1" ht="25.5" x14ac:dyDescent="0.2">
      <c r="A92" s="109">
        <v>86</v>
      </c>
      <c r="B92" s="42" t="s">
        <v>1208</v>
      </c>
      <c r="C92" s="40" t="s">
        <v>1209</v>
      </c>
      <c r="D92" s="38" t="s">
        <v>253</v>
      </c>
      <c r="E92" s="40" t="s">
        <v>1210</v>
      </c>
      <c r="F92" s="114">
        <v>304984.40999999997</v>
      </c>
      <c r="G92" s="104" t="s">
        <v>1211</v>
      </c>
      <c r="H92" s="115" t="s">
        <v>1102</v>
      </c>
      <c r="I92" s="114">
        <v>48731</v>
      </c>
    </row>
    <row r="93" spans="1:9" s="122" customFormat="1" ht="38.25" x14ac:dyDescent="0.2">
      <c r="A93" s="109">
        <v>87</v>
      </c>
      <c r="B93" s="42" t="s">
        <v>1222</v>
      </c>
      <c r="C93" s="40" t="s">
        <v>1223</v>
      </c>
      <c r="D93" s="38" t="s">
        <v>253</v>
      </c>
      <c r="E93" s="40" t="s">
        <v>49</v>
      </c>
      <c r="F93" s="114">
        <v>70150.83</v>
      </c>
      <c r="G93" s="104" t="s">
        <v>1224</v>
      </c>
      <c r="H93" s="115" t="s">
        <v>1123</v>
      </c>
      <c r="I93" s="114">
        <v>0</v>
      </c>
    </row>
    <row r="94" spans="1:9" s="122" customFormat="1" ht="38.25" x14ac:dyDescent="0.2">
      <c r="A94" s="109">
        <v>88</v>
      </c>
      <c r="B94" s="42" t="s">
        <v>1230</v>
      </c>
      <c r="C94" s="40" t="s">
        <v>1231</v>
      </c>
      <c r="D94" s="38" t="s">
        <v>253</v>
      </c>
      <c r="E94" s="40" t="s">
        <v>1232</v>
      </c>
      <c r="F94" s="114">
        <v>149988.75</v>
      </c>
      <c r="G94" s="104" t="s">
        <v>1233</v>
      </c>
      <c r="H94" s="115" t="s">
        <v>1108</v>
      </c>
      <c r="I94" s="114">
        <v>37497.18</v>
      </c>
    </row>
    <row r="95" spans="1:9" s="122" customFormat="1" ht="25.5" x14ac:dyDescent="0.2">
      <c r="A95" s="109">
        <v>89</v>
      </c>
      <c r="B95" s="42" t="s">
        <v>1313</v>
      </c>
      <c r="C95" s="40"/>
      <c r="D95" s="38" t="s">
        <v>253</v>
      </c>
      <c r="E95" s="40" t="s">
        <v>249</v>
      </c>
      <c r="F95" s="114">
        <v>220000</v>
      </c>
      <c r="G95" s="104" t="s">
        <v>1281</v>
      </c>
      <c r="H95" s="115" t="s">
        <v>1282</v>
      </c>
      <c r="I95" s="114">
        <v>220000</v>
      </c>
    </row>
    <row r="96" spans="1:9" s="122" customFormat="1" ht="38.25" x14ac:dyDescent="0.2">
      <c r="A96" s="109">
        <v>90</v>
      </c>
      <c r="B96" s="42" t="s">
        <v>1314</v>
      </c>
      <c r="C96" s="40"/>
      <c r="D96" s="38" t="s">
        <v>253</v>
      </c>
      <c r="E96" s="40" t="s">
        <v>1315</v>
      </c>
      <c r="F96" s="114">
        <v>59996.25</v>
      </c>
      <c r="G96" s="104" t="s">
        <v>1316</v>
      </c>
      <c r="H96" s="115" t="s">
        <v>1243</v>
      </c>
      <c r="I96" s="114">
        <v>0</v>
      </c>
    </row>
    <row r="97" spans="1:9" s="122" customFormat="1" ht="25.5" x14ac:dyDescent="0.2">
      <c r="A97" s="109">
        <v>91</v>
      </c>
      <c r="B97" s="42" t="s">
        <v>1330</v>
      </c>
      <c r="C97" s="40"/>
      <c r="D97" s="38" t="s">
        <v>253</v>
      </c>
      <c r="E97" s="40" t="s">
        <v>1331</v>
      </c>
      <c r="F97" s="114">
        <v>127237.5</v>
      </c>
      <c r="G97" s="104" t="s">
        <v>1333</v>
      </c>
      <c r="H97" s="115" t="s">
        <v>1332</v>
      </c>
      <c r="I97" s="114">
        <v>28518.75</v>
      </c>
    </row>
    <row r="98" spans="1:9" s="122" customFormat="1" ht="25.5" x14ac:dyDescent="0.2">
      <c r="A98" s="109">
        <v>92</v>
      </c>
      <c r="B98" s="42" t="s">
        <v>1336</v>
      </c>
      <c r="C98" s="40" t="s">
        <v>251</v>
      </c>
      <c r="D98" s="38" t="s">
        <v>253</v>
      </c>
      <c r="E98" s="40" t="s">
        <v>257</v>
      </c>
      <c r="F98" s="114">
        <v>17912.5</v>
      </c>
      <c r="G98" s="104" t="s">
        <v>1334</v>
      </c>
      <c r="H98" s="115" t="s">
        <v>1335</v>
      </c>
      <c r="I98" s="114">
        <v>9312.5</v>
      </c>
    </row>
    <row r="99" spans="1:9" s="122" customFormat="1" ht="25.5" x14ac:dyDescent="0.2">
      <c r="A99" s="109">
        <v>93</v>
      </c>
      <c r="B99" s="42" t="s">
        <v>1456</v>
      </c>
      <c r="C99" s="40"/>
      <c r="D99" s="38" t="s">
        <v>253</v>
      </c>
      <c r="E99" s="40" t="s">
        <v>261</v>
      </c>
      <c r="F99" s="114">
        <v>71837.5</v>
      </c>
      <c r="G99" s="104" t="s">
        <v>1457</v>
      </c>
      <c r="H99" s="115" t="s">
        <v>1164</v>
      </c>
      <c r="I99" s="114">
        <v>71837.5</v>
      </c>
    </row>
    <row r="100" spans="1:9" s="6" customFormat="1" ht="25.5" x14ac:dyDescent="0.2">
      <c r="A100" s="109">
        <v>94</v>
      </c>
      <c r="B100" s="42" t="s">
        <v>1458</v>
      </c>
      <c r="C100" s="40" t="s">
        <v>1469</v>
      </c>
      <c r="D100" s="38" t="s">
        <v>253</v>
      </c>
      <c r="E100" s="40" t="s">
        <v>1459</v>
      </c>
      <c r="F100" s="114">
        <v>142500</v>
      </c>
      <c r="G100" s="104" t="s">
        <v>1460</v>
      </c>
      <c r="H100" s="115" t="s">
        <v>1461</v>
      </c>
      <c r="I100" s="114">
        <v>142500</v>
      </c>
    </row>
    <row r="101" spans="1:9" s="6" customFormat="1" ht="38.25" x14ac:dyDescent="0.2">
      <c r="A101" s="109">
        <v>95</v>
      </c>
      <c r="B101" s="42" t="s">
        <v>1466</v>
      </c>
      <c r="C101" s="123"/>
      <c r="D101" s="38" t="s">
        <v>253</v>
      </c>
      <c r="E101" s="40" t="s">
        <v>166</v>
      </c>
      <c r="F101" s="114">
        <v>185725</v>
      </c>
      <c r="G101" s="104" t="s">
        <v>1468</v>
      </c>
      <c r="H101" s="115" t="s">
        <v>1467</v>
      </c>
      <c r="I101" s="114">
        <v>0</v>
      </c>
    </row>
    <row r="102" spans="1:9" s="6" customFormat="1" ht="25.5" x14ac:dyDescent="0.2">
      <c r="A102" s="109">
        <v>96</v>
      </c>
      <c r="B102" s="42" t="s">
        <v>1492</v>
      </c>
      <c r="C102" s="40"/>
      <c r="D102" s="38" t="s">
        <v>253</v>
      </c>
      <c r="E102" s="40" t="s">
        <v>1493</v>
      </c>
      <c r="F102" s="114">
        <v>65625</v>
      </c>
      <c r="G102" s="104" t="s">
        <v>1494</v>
      </c>
      <c r="H102" s="115">
        <v>42644</v>
      </c>
      <c r="I102" s="114">
        <v>0</v>
      </c>
    </row>
    <row r="103" spans="1:9" s="6" customFormat="1" ht="25.5" x14ac:dyDescent="0.2">
      <c r="A103" s="109">
        <v>97</v>
      </c>
      <c r="B103" s="42" t="s">
        <v>1499</v>
      </c>
      <c r="C103" s="40" t="s">
        <v>1502</v>
      </c>
      <c r="D103" s="38" t="s">
        <v>253</v>
      </c>
      <c r="E103" s="40" t="s">
        <v>1500</v>
      </c>
      <c r="F103" s="114">
        <f>104853.25*1.25</f>
        <v>131066.5625</v>
      </c>
      <c r="G103" s="104" t="s">
        <v>1501</v>
      </c>
      <c r="H103" s="115" t="s">
        <v>1401</v>
      </c>
      <c r="I103" s="112">
        <v>3968.75</v>
      </c>
    </row>
    <row r="104" spans="1:9" s="6" customFormat="1" ht="25.5" x14ac:dyDescent="0.2">
      <c r="A104" s="109">
        <v>98</v>
      </c>
      <c r="B104" s="42" t="s">
        <v>1537</v>
      </c>
      <c r="C104" s="40" t="s">
        <v>1540</v>
      </c>
      <c r="D104" s="38" t="s">
        <v>253</v>
      </c>
      <c r="E104" s="40" t="s">
        <v>819</v>
      </c>
      <c r="F104" s="114">
        <v>225000</v>
      </c>
      <c r="G104" s="104" t="s">
        <v>1539</v>
      </c>
      <c r="H104" s="40" t="s">
        <v>1538</v>
      </c>
      <c r="I104" s="114">
        <v>218750</v>
      </c>
    </row>
    <row r="105" spans="1:9" s="6" customFormat="1" ht="25.5" x14ac:dyDescent="0.2">
      <c r="A105" s="109">
        <v>99</v>
      </c>
      <c r="B105" s="42" t="s">
        <v>1609</v>
      </c>
      <c r="C105" s="40" t="s">
        <v>1610</v>
      </c>
      <c r="D105" s="38" t="s">
        <v>253</v>
      </c>
      <c r="E105" s="40" t="s">
        <v>331</v>
      </c>
      <c r="F105" s="114">
        <v>237490.51</v>
      </c>
      <c r="G105" s="104" t="s">
        <v>1611</v>
      </c>
      <c r="H105" s="40" t="s">
        <v>1461</v>
      </c>
      <c r="I105" s="114">
        <v>0</v>
      </c>
    </row>
    <row r="106" spans="1:9" s="6" customFormat="1" ht="25.5" x14ac:dyDescent="0.2">
      <c r="A106" s="109">
        <v>100</v>
      </c>
      <c r="B106" s="42" t="s">
        <v>1647</v>
      </c>
      <c r="C106" s="40" t="s">
        <v>1648</v>
      </c>
      <c r="D106" s="38" t="s">
        <v>253</v>
      </c>
      <c r="E106" s="40" t="s">
        <v>257</v>
      </c>
      <c r="F106" s="114">
        <f>127835*1.25</f>
        <v>159793.75</v>
      </c>
      <c r="G106" s="104" t="s">
        <v>1649</v>
      </c>
      <c r="H106" s="40" t="s">
        <v>1650</v>
      </c>
      <c r="I106" s="114">
        <v>5737.5</v>
      </c>
    </row>
    <row r="107" spans="1:9" s="6" customFormat="1" ht="25.5" x14ac:dyDescent="0.2">
      <c r="A107" s="109">
        <v>101</v>
      </c>
      <c r="B107" s="42" t="s">
        <v>1771</v>
      </c>
      <c r="C107" s="40" t="s">
        <v>1772</v>
      </c>
      <c r="D107" s="38" t="s">
        <v>253</v>
      </c>
      <c r="E107" s="40" t="s">
        <v>21</v>
      </c>
      <c r="F107" s="114">
        <v>137500</v>
      </c>
      <c r="G107" s="104" t="s">
        <v>1773</v>
      </c>
      <c r="H107" s="40" t="s">
        <v>1774</v>
      </c>
      <c r="I107" s="114">
        <v>137500</v>
      </c>
    </row>
    <row r="108" spans="1:9" s="6" customFormat="1" ht="25.5" x14ac:dyDescent="0.2">
      <c r="A108" s="109">
        <v>102</v>
      </c>
      <c r="B108" s="42" t="s">
        <v>1884</v>
      </c>
      <c r="C108" s="40" t="s">
        <v>1885</v>
      </c>
      <c r="D108" s="38" t="s">
        <v>253</v>
      </c>
      <c r="E108" s="40" t="s">
        <v>699</v>
      </c>
      <c r="F108" s="114">
        <f>59000*1.25</f>
        <v>73750</v>
      </c>
      <c r="G108" s="104" t="s">
        <v>1886</v>
      </c>
      <c r="H108" s="40" t="s">
        <v>1887</v>
      </c>
      <c r="I108" s="114">
        <v>73750</v>
      </c>
    </row>
    <row r="109" spans="1:9" s="6" customFormat="1" ht="25.5" x14ac:dyDescent="0.2">
      <c r="A109" s="109">
        <v>103</v>
      </c>
      <c r="B109" s="42" t="s">
        <v>1908</v>
      </c>
      <c r="C109" s="40" t="s">
        <v>1909</v>
      </c>
      <c r="D109" s="38" t="s">
        <v>253</v>
      </c>
      <c r="E109" s="40" t="s">
        <v>1910</v>
      </c>
      <c r="F109" s="114">
        <f>469335.56*1.25</f>
        <v>586669.44999999995</v>
      </c>
      <c r="G109" s="104" t="s">
        <v>1911</v>
      </c>
      <c r="H109" s="40" t="s">
        <v>1912</v>
      </c>
      <c r="I109" s="114">
        <v>0</v>
      </c>
    </row>
    <row r="110" spans="1:9" s="6" customFormat="1" ht="25.5" x14ac:dyDescent="0.2">
      <c r="A110" s="109">
        <v>104</v>
      </c>
      <c r="B110" s="42" t="s">
        <v>1945</v>
      </c>
      <c r="C110" s="40" t="s">
        <v>1946</v>
      </c>
      <c r="D110" s="38" t="s">
        <v>253</v>
      </c>
      <c r="E110" s="40" t="s">
        <v>612</v>
      </c>
      <c r="F110" s="114">
        <v>93055</v>
      </c>
      <c r="G110" s="104" t="s">
        <v>1947</v>
      </c>
      <c r="H110" s="40" t="s">
        <v>1948</v>
      </c>
      <c r="I110" s="114">
        <v>93055</v>
      </c>
    </row>
    <row r="111" spans="1:9" s="6" customFormat="1" ht="38.25" x14ac:dyDescent="0.2">
      <c r="A111" s="109">
        <v>105</v>
      </c>
      <c r="B111" s="42" t="s">
        <v>1954</v>
      </c>
      <c r="C111" s="40" t="s">
        <v>1955</v>
      </c>
      <c r="D111" s="38" t="s">
        <v>253</v>
      </c>
      <c r="E111" s="40" t="s">
        <v>598</v>
      </c>
      <c r="F111" s="114">
        <v>243736.25</v>
      </c>
      <c r="G111" s="104" t="s">
        <v>1956</v>
      </c>
      <c r="H111" s="40" t="s">
        <v>1957</v>
      </c>
      <c r="I111" s="114">
        <v>40622</v>
      </c>
    </row>
    <row r="112" spans="1:9" s="6" customFormat="1" ht="45.75" customHeight="1" x14ac:dyDescent="0.2">
      <c r="A112" s="109">
        <v>106</v>
      </c>
      <c r="B112" s="42" t="s">
        <v>1983</v>
      </c>
      <c r="C112" s="40" t="s">
        <v>1984</v>
      </c>
      <c r="D112" s="38" t="s">
        <v>253</v>
      </c>
      <c r="E112" s="40" t="s">
        <v>645</v>
      </c>
      <c r="F112" s="114">
        <v>149550</v>
      </c>
      <c r="G112" s="104" t="s">
        <v>1985</v>
      </c>
      <c r="H112" s="40" t="s">
        <v>1986</v>
      </c>
      <c r="I112" s="114">
        <v>13708.75</v>
      </c>
    </row>
    <row r="113" spans="1:9" s="6" customFormat="1" ht="48.75" customHeight="1" x14ac:dyDescent="0.2">
      <c r="A113" s="109">
        <v>107</v>
      </c>
      <c r="B113" s="42" t="s">
        <v>1994</v>
      </c>
      <c r="C113" s="40" t="s">
        <v>1995</v>
      </c>
      <c r="D113" s="38" t="s">
        <v>253</v>
      </c>
      <c r="E113" s="40" t="s">
        <v>1996</v>
      </c>
      <c r="F113" s="114">
        <f>469820.37*1.25</f>
        <v>587275.46250000002</v>
      </c>
      <c r="G113" s="104" t="s">
        <v>1997</v>
      </c>
      <c r="H113" s="40" t="s">
        <v>1907</v>
      </c>
      <c r="I113" s="114">
        <v>266501.19</v>
      </c>
    </row>
    <row r="114" spans="1:9" s="6" customFormat="1" ht="38.25" x14ac:dyDescent="0.2">
      <c r="A114" s="109">
        <v>108</v>
      </c>
      <c r="B114" s="42" t="s">
        <v>2079</v>
      </c>
      <c r="C114" s="40" t="s">
        <v>1995</v>
      </c>
      <c r="D114" s="38" t="s">
        <v>253</v>
      </c>
      <c r="E114" s="40" t="s">
        <v>2080</v>
      </c>
      <c r="F114" s="114">
        <f>37740*1.25</f>
        <v>47175</v>
      </c>
      <c r="G114" s="104" t="s">
        <v>2081</v>
      </c>
      <c r="H114" s="40" t="s">
        <v>2082</v>
      </c>
      <c r="I114" s="114">
        <v>18040</v>
      </c>
    </row>
    <row r="115" spans="1:9" s="6" customFormat="1" ht="46.5" customHeight="1" x14ac:dyDescent="0.2">
      <c r="A115" s="109">
        <v>109</v>
      </c>
      <c r="B115" s="38" t="s">
        <v>2083</v>
      </c>
      <c r="C115" s="40" t="s">
        <v>2084</v>
      </c>
      <c r="D115" s="38" t="s">
        <v>253</v>
      </c>
      <c r="E115" s="40" t="s">
        <v>1115</v>
      </c>
      <c r="F115" s="114">
        <v>148841.25</v>
      </c>
      <c r="G115" s="104" t="s">
        <v>2085</v>
      </c>
      <c r="H115" s="40" t="s">
        <v>4155</v>
      </c>
      <c r="I115" s="114">
        <v>118205</v>
      </c>
    </row>
    <row r="116" spans="1:9" s="6" customFormat="1" ht="39.75" customHeight="1" x14ac:dyDescent="0.2">
      <c r="A116" s="109">
        <v>110</v>
      </c>
      <c r="B116" s="42" t="s">
        <v>2094</v>
      </c>
      <c r="C116" s="40" t="s">
        <v>2328</v>
      </c>
      <c r="D116" s="38" t="s">
        <v>253</v>
      </c>
      <c r="E116" s="40" t="s">
        <v>2095</v>
      </c>
      <c r="F116" s="114">
        <f>56481*1.25</f>
        <v>70601.25</v>
      </c>
      <c r="G116" s="104" t="s">
        <v>2096</v>
      </c>
      <c r="H116" s="40" t="s">
        <v>1957</v>
      </c>
      <c r="I116" s="114">
        <v>0</v>
      </c>
    </row>
    <row r="117" spans="1:9" s="6" customFormat="1" ht="42.75" customHeight="1" x14ac:dyDescent="0.2">
      <c r="A117" s="109">
        <v>111</v>
      </c>
      <c r="B117" s="42" t="s">
        <v>2327</v>
      </c>
      <c r="C117" s="124" t="s">
        <v>2329</v>
      </c>
      <c r="D117" s="38" t="s">
        <v>253</v>
      </c>
      <c r="E117" s="40" t="s">
        <v>645</v>
      </c>
      <c r="F117" s="114">
        <f>103012*1.25</f>
        <v>128765</v>
      </c>
      <c r="G117" s="104" t="s">
        <v>2330</v>
      </c>
      <c r="H117" s="40" t="s">
        <v>2331</v>
      </c>
      <c r="I117" s="114">
        <v>128765</v>
      </c>
    </row>
    <row r="118" spans="1:9" s="6" customFormat="1" ht="51" x14ac:dyDescent="0.2">
      <c r="A118" s="109">
        <v>112</v>
      </c>
      <c r="B118" s="42" t="s">
        <v>2370</v>
      </c>
      <c r="C118" s="40" t="s">
        <v>2371</v>
      </c>
      <c r="D118" s="38" t="s">
        <v>253</v>
      </c>
      <c r="E118" s="40" t="s">
        <v>2372</v>
      </c>
      <c r="F118" s="114">
        <f>145000*1.25</f>
        <v>181250</v>
      </c>
      <c r="G118" s="104" t="s">
        <v>2373</v>
      </c>
      <c r="H118" s="115">
        <v>43044</v>
      </c>
      <c r="I118" s="114">
        <v>15104.21</v>
      </c>
    </row>
    <row r="119" spans="1:9" s="6" customFormat="1" ht="40.5" customHeight="1" x14ac:dyDescent="0.2">
      <c r="A119" s="109">
        <v>113</v>
      </c>
      <c r="B119" s="42" t="s">
        <v>2436</v>
      </c>
      <c r="C119" s="40" t="s">
        <v>2437</v>
      </c>
      <c r="D119" s="38" t="s">
        <v>253</v>
      </c>
      <c r="E119" s="40" t="s">
        <v>49</v>
      </c>
      <c r="F119" s="114">
        <v>24999.56</v>
      </c>
      <c r="G119" s="104" t="s">
        <v>2438</v>
      </c>
      <c r="H119" s="40" t="s">
        <v>2411</v>
      </c>
      <c r="I119" s="114">
        <v>0</v>
      </c>
    </row>
    <row r="120" spans="1:9" s="6" customFormat="1" ht="25.5" x14ac:dyDescent="0.2">
      <c r="A120" s="109">
        <v>114</v>
      </c>
      <c r="B120" s="42" t="s">
        <v>2439</v>
      </c>
      <c r="C120" s="40" t="s">
        <v>2437</v>
      </c>
      <c r="D120" s="38" t="s">
        <v>253</v>
      </c>
      <c r="E120" s="40" t="s">
        <v>1155</v>
      </c>
      <c r="F120" s="114">
        <v>38921.879999999997</v>
      </c>
      <c r="G120" s="104" t="s">
        <v>2440</v>
      </c>
      <c r="H120" s="40" t="s">
        <v>2411</v>
      </c>
      <c r="I120" s="114">
        <v>0</v>
      </c>
    </row>
    <row r="121" spans="1:9" s="6" customFormat="1" ht="25.5" x14ac:dyDescent="0.2">
      <c r="A121" s="109">
        <v>115</v>
      </c>
      <c r="B121" s="42" t="s">
        <v>2441</v>
      </c>
      <c r="C121" s="40" t="s">
        <v>2442</v>
      </c>
      <c r="D121" s="38" t="s">
        <v>253</v>
      </c>
      <c r="E121" s="40" t="s">
        <v>49</v>
      </c>
      <c r="F121" s="114">
        <v>87167.5</v>
      </c>
      <c r="G121" s="104" t="s">
        <v>2443</v>
      </c>
      <c r="H121" s="40" t="s">
        <v>2444</v>
      </c>
      <c r="I121" s="114">
        <v>87167.5</v>
      </c>
    </row>
    <row r="122" spans="1:9" s="6" customFormat="1" ht="25.5" x14ac:dyDescent="0.2">
      <c r="A122" s="109">
        <v>116</v>
      </c>
      <c r="B122" s="42" t="s">
        <v>2445</v>
      </c>
      <c r="C122" s="40" t="s">
        <v>2446</v>
      </c>
      <c r="D122" s="38" t="s">
        <v>253</v>
      </c>
      <c r="E122" s="40" t="s">
        <v>257</v>
      </c>
      <c r="F122" s="114">
        <f>95380*1.25</f>
        <v>119225</v>
      </c>
      <c r="G122" s="104" t="s">
        <v>2447</v>
      </c>
      <c r="H122" s="40" t="s">
        <v>2411</v>
      </c>
      <c r="I122" s="114">
        <v>0</v>
      </c>
    </row>
    <row r="123" spans="1:9" s="6" customFormat="1" ht="51" x14ac:dyDescent="0.2">
      <c r="A123" s="109">
        <v>117</v>
      </c>
      <c r="B123" s="42" t="s">
        <v>2458</v>
      </c>
      <c r="C123" s="40" t="s">
        <v>529</v>
      </c>
      <c r="D123" s="38" t="s">
        <v>253</v>
      </c>
      <c r="E123" s="40" t="s">
        <v>530</v>
      </c>
      <c r="F123" s="114">
        <f>65125*1.25</f>
        <v>81406.25</v>
      </c>
      <c r="G123" s="104" t="s">
        <v>2459</v>
      </c>
      <c r="H123" s="40" t="s">
        <v>2430</v>
      </c>
      <c r="I123" s="114">
        <v>0</v>
      </c>
    </row>
    <row r="124" spans="1:9" s="6" customFormat="1" ht="25.5" x14ac:dyDescent="0.2">
      <c r="A124" s="109">
        <v>118</v>
      </c>
      <c r="B124" s="38" t="s">
        <v>2526</v>
      </c>
      <c r="C124" s="40" t="s">
        <v>2527</v>
      </c>
      <c r="D124" s="38" t="s">
        <v>253</v>
      </c>
      <c r="E124" s="40" t="s">
        <v>2528</v>
      </c>
      <c r="F124" s="114">
        <f>105122*1.25</f>
        <v>131402.5</v>
      </c>
      <c r="G124" s="104" t="s">
        <v>2529</v>
      </c>
      <c r="H124" s="40" t="s">
        <v>1900</v>
      </c>
      <c r="I124" s="114">
        <v>0</v>
      </c>
    </row>
    <row r="125" spans="1:9" s="6" customFormat="1" ht="25.5" x14ac:dyDescent="0.2">
      <c r="A125" s="109">
        <v>119</v>
      </c>
      <c r="B125" s="42" t="s">
        <v>2627</v>
      </c>
      <c r="C125" s="40" t="s">
        <v>2628</v>
      </c>
      <c r="D125" s="38" t="s">
        <v>253</v>
      </c>
      <c r="E125" s="40" t="s">
        <v>699</v>
      </c>
      <c r="F125" s="114">
        <f>104500*1.25</f>
        <v>130625</v>
      </c>
      <c r="G125" s="104" t="s">
        <v>2630</v>
      </c>
      <c r="H125" s="40" t="s">
        <v>2629</v>
      </c>
      <c r="I125" s="114">
        <v>130625</v>
      </c>
    </row>
    <row r="126" spans="1:9" s="6" customFormat="1" ht="25.5" x14ac:dyDescent="0.2">
      <c r="A126" s="109">
        <v>120</v>
      </c>
      <c r="B126" s="42" t="s">
        <v>2631</v>
      </c>
      <c r="C126" s="40" t="s">
        <v>2632</v>
      </c>
      <c r="D126" s="38" t="s">
        <v>253</v>
      </c>
      <c r="E126" s="40" t="s">
        <v>694</v>
      </c>
      <c r="F126" s="114">
        <f>67237*1.25</f>
        <v>84046.25</v>
      </c>
      <c r="G126" s="104" t="s">
        <v>2674</v>
      </c>
      <c r="H126" s="40" t="s">
        <v>2273</v>
      </c>
      <c r="I126" s="114">
        <v>0</v>
      </c>
    </row>
    <row r="127" spans="1:9" s="6" customFormat="1" ht="25.5" x14ac:dyDescent="0.2">
      <c r="A127" s="109">
        <v>121</v>
      </c>
      <c r="B127" s="38" t="s">
        <v>2643</v>
      </c>
      <c r="C127" s="40" t="s">
        <v>2644</v>
      </c>
      <c r="D127" s="38" t="s">
        <v>253</v>
      </c>
      <c r="E127" s="40" t="s">
        <v>21</v>
      </c>
      <c r="F127" s="114">
        <f>153650*1.25</f>
        <v>192062.5</v>
      </c>
      <c r="G127" s="104" t="s">
        <v>2673</v>
      </c>
      <c r="H127" s="40" t="s">
        <v>2629</v>
      </c>
      <c r="I127" s="114">
        <v>0</v>
      </c>
    </row>
    <row r="128" spans="1:9" s="6" customFormat="1" ht="38.25" x14ac:dyDescent="0.2">
      <c r="A128" s="109">
        <v>122</v>
      </c>
      <c r="B128" s="42" t="s">
        <v>2670</v>
      </c>
      <c r="C128" s="40" t="s">
        <v>2671</v>
      </c>
      <c r="D128" s="38" t="s">
        <v>253</v>
      </c>
      <c r="E128" s="40" t="s">
        <v>390</v>
      </c>
      <c r="F128" s="114">
        <v>112483.75</v>
      </c>
      <c r="G128" s="104" t="s">
        <v>2694</v>
      </c>
      <c r="H128" s="40" t="s">
        <v>2672</v>
      </c>
      <c r="I128" s="114">
        <v>0</v>
      </c>
    </row>
    <row r="129" spans="1:9" s="6" customFormat="1" ht="38.25" x14ac:dyDescent="0.2">
      <c r="A129" s="109">
        <v>123</v>
      </c>
      <c r="B129" s="42" t="s">
        <v>2692</v>
      </c>
      <c r="C129" s="40" t="s">
        <v>2693</v>
      </c>
      <c r="D129" s="38" t="s">
        <v>253</v>
      </c>
      <c r="E129" s="40" t="s">
        <v>1155</v>
      </c>
      <c r="F129" s="114">
        <f>12246.94+19110.25+73745+15748.75+22495</f>
        <v>143345.94</v>
      </c>
      <c r="G129" s="104" t="s">
        <v>2724</v>
      </c>
      <c r="H129" s="40" t="s">
        <v>2695</v>
      </c>
      <c r="I129" s="114">
        <v>0</v>
      </c>
    </row>
    <row r="130" spans="1:9" s="6" customFormat="1" ht="38.25" x14ac:dyDescent="0.2">
      <c r="A130" s="109">
        <v>124</v>
      </c>
      <c r="B130" s="42" t="s">
        <v>2737</v>
      </c>
      <c r="C130" s="40" t="s">
        <v>2738</v>
      </c>
      <c r="D130" s="38" t="s">
        <v>253</v>
      </c>
      <c r="E130" s="40" t="s">
        <v>1315</v>
      </c>
      <c r="F130" s="114">
        <v>69976.25</v>
      </c>
      <c r="G130" s="104" t="s">
        <v>2739</v>
      </c>
      <c r="H130" s="40" t="s">
        <v>2642</v>
      </c>
      <c r="I130" s="114">
        <v>0</v>
      </c>
    </row>
    <row r="131" spans="1:9" s="6" customFormat="1" ht="38.25" x14ac:dyDescent="0.2">
      <c r="A131" s="109">
        <v>125</v>
      </c>
      <c r="B131" s="42" t="s">
        <v>2758</v>
      </c>
      <c r="C131" s="40" t="s">
        <v>2759</v>
      </c>
      <c r="D131" s="38" t="s">
        <v>253</v>
      </c>
      <c r="E131" s="40" t="s">
        <v>1306</v>
      </c>
      <c r="F131" s="114">
        <v>207888</v>
      </c>
      <c r="G131" s="104" t="s">
        <v>2760</v>
      </c>
      <c r="H131" s="40" t="s">
        <v>1948</v>
      </c>
      <c r="I131" s="114">
        <v>0</v>
      </c>
    </row>
    <row r="132" spans="1:9" s="6" customFormat="1" ht="38.25" x14ac:dyDescent="0.2">
      <c r="A132" s="109">
        <v>126</v>
      </c>
      <c r="B132" s="42" t="s">
        <v>2768</v>
      </c>
      <c r="C132" s="40" t="s">
        <v>2693</v>
      </c>
      <c r="D132" s="38" t="s">
        <v>253</v>
      </c>
      <c r="E132" s="40" t="s">
        <v>78</v>
      </c>
      <c r="F132" s="114">
        <v>18750</v>
      </c>
      <c r="G132" s="104" t="s">
        <v>2769</v>
      </c>
      <c r="H132" s="40" t="s">
        <v>2695</v>
      </c>
      <c r="I132" s="114">
        <v>0</v>
      </c>
    </row>
    <row r="133" spans="1:9" s="6" customFormat="1" ht="38.25" x14ac:dyDescent="0.2">
      <c r="A133" s="109">
        <v>127</v>
      </c>
      <c r="B133" s="42" t="s">
        <v>2770</v>
      </c>
      <c r="C133" s="40" t="s">
        <v>2693</v>
      </c>
      <c r="D133" s="38" t="s">
        <v>253</v>
      </c>
      <c r="E133" s="40" t="s">
        <v>598</v>
      </c>
      <c r="F133" s="114">
        <v>15402.73</v>
      </c>
      <c r="G133" s="104" t="s">
        <v>2771</v>
      </c>
      <c r="H133" s="40" t="s">
        <v>2695</v>
      </c>
      <c r="I133" s="114">
        <v>0</v>
      </c>
    </row>
    <row r="134" spans="1:9" s="6" customFormat="1" ht="38.25" x14ac:dyDescent="0.2">
      <c r="A134" s="109">
        <v>128</v>
      </c>
      <c r="B134" s="42" t="s">
        <v>2772</v>
      </c>
      <c r="C134" s="40" t="s">
        <v>2693</v>
      </c>
      <c r="D134" s="38" t="s">
        <v>253</v>
      </c>
      <c r="E134" s="40" t="s">
        <v>211</v>
      </c>
      <c r="F134" s="114">
        <v>63725.46</v>
      </c>
      <c r="G134" s="104" t="s">
        <v>2773</v>
      </c>
      <c r="H134" s="40" t="s">
        <v>2695</v>
      </c>
      <c r="I134" s="114">
        <v>0</v>
      </c>
    </row>
    <row r="135" spans="1:9" s="6" customFormat="1" ht="38.25" x14ac:dyDescent="0.2">
      <c r="A135" s="109">
        <v>129</v>
      </c>
      <c r="B135" s="42" t="s">
        <v>2798</v>
      </c>
      <c r="C135" s="40" t="s">
        <v>1242</v>
      </c>
      <c r="D135" s="38" t="s">
        <v>253</v>
      </c>
      <c r="E135" s="40" t="s">
        <v>385</v>
      </c>
      <c r="F135" s="114">
        <v>230000</v>
      </c>
      <c r="G135" s="104" t="s">
        <v>2799</v>
      </c>
      <c r="H135" s="40" t="s">
        <v>2800</v>
      </c>
      <c r="I135" s="114">
        <v>0</v>
      </c>
    </row>
    <row r="136" spans="1:9" s="6" customFormat="1" ht="38.25" x14ac:dyDescent="0.2">
      <c r="A136" s="109">
        <v>130</v>
      </c>
      <c r="B136" s="42" t="s">
        <v>2929</v>
      </c>
      <c r="C136" s="40" t="s">
        <v>2628</v>
      </c>
      <c r="D136" s="38" t="s">
        <v>253</v>
      </c>
      <c r="E136" s="40" t="s">
        <v>526</v>
      </c>
      <c r="F136" s="114">
        <f>83530*1.25</f>
        <v>104412.5</v>
      </c>
      <c r="G136" s="104" t="s">
        <v>2930</v>
      </c>
      <c r="H136" s="40" t="s">
        <v>2931</v>
      </c>
      <c r="I136" s="114">
        <v>104412.5</v>
      </c>
    </row>
    <row r="137" spans="1:9" s="6" customFormat="1" ht="38.25" x14ac:dyDescent="0.2">
      <c r="A137" s="109">
        <v>131</v>
      </c>
      <c r="B137" s="42" t="s">
        <v>2944</v>
      </c>
      <c r="C137" s="40" t="s">
        <v>2945</v>
      </c>
      <c r="D137" s="38" t="s">
        <v>253</v>
      </c>
      <c r="E137" s="40" t="s">
        <v>2946</v>
      </c>
      <c r="F137" s="114">
        <f>97900*1.25</f>
        <v>122375</v>
      </c>
      <c r="G137" s="104" t="s">
        <v>2947</v>
      </c>
      <c r="H137" s="40" t="s">
        <v>2948</v>
      </c>
      <c r="I137" s="114">
        <v>0</v>
      </c>
    </row>
    <row r="138" spans="1:9" s="6" customFormat="1" ht="38.25" x14ac:dyDescent="0.2">
      <c r="A138" s="109">
        <v>132</v>
      </c>
      <c r="B138" s="38" t="s">
        <v>2977</v>
      </c>
      <c r="C138" s="40" t="s">
        <v>2978</v>
      </c>
      <c r="D138" s="38" t="s">
        <v>253</v>
      </c>
      <c r="E138" s="40" t="s">
        <v>676</v>
      </c>
      <c r="F138" s="114">
        <f>139990*1.25</f>
        <v>174987.5</v>
      </c>
      <c r="G138" s="104" t="s">
        <v>2979</v>
      </c>
      <c r="H138" s="40" t="s">
        <v>2980</v>
      </c>
      <c r="I138" s="114">
        <v>0</v>
      </c>
    </row>
    <row r="139" spans="1:9" s="6" customFormat="1" ht="38.25" x14ac:dyDescent="0.2">
      <c r="A139" s="109">
        <v>133</v>
      </c>
      <c r="B139" s="42" t="s">
        <v>2984</v>
      </c>
      <c r="C139" s="40" t="s">
        <v>2985</v>
      </c>
      <c r="D139" s="38" t="s">
        <v>253</v>
      </c>
      <c r="E139" s="40" t="s">
        <v>707</v>
      </c>
      <c r="F139" s="114">
        <v>59500</v>
      </c>
      <c r="G139" s="104" t="s">
        <v>2986</v>
      </c>
      <c r="H139" s="40" t="s">
        <v>2700</v>
      </c>
      <c r="I139" s="114">
        <v>59500</v>
      </c>
    </row>
    <row r="140" spans="1:9" s="6" customFormat="1" ht="38.25" x14ac:dyDescent="0.2">
      <c r="A140" s="109">
        <v>134</v>
      </c>
      <c r="B140" s="42" t="s">
        <v>2994</v>
      </c>
      <c r="C140" s="40" t="s">
        <v>2671</v>
      </c>
      <c r="D140" s="38" t="s">
        <v>253</v>
      </c>
      <c r="E140" s="104" t="s">
        <v>2995</v>
      </c>
      <c r="F140" s="114">
        <v>17417.759999999998</v>
      </c>
      <c r="G140" s="104" t="s">
        <v>2996</v>
      </c>
      <c r="H140" s="40" t="s">
        <v>2672</v>
      </c>
      <c r="I140" s="114">
        <v>0</v>
      </c>
    </row>
    <row r="141" spans="1:9" s="6" customFormat="1" ht="38.25" x14ac:dyDescent="0.2">
      <c r="A141" s="109">
        <v>135</v>
      </c>
      <c r="B141" s="42" t="s">
        <v>2997</v>
      </c>
      <c r="C141" s="40" t="s">
        <v>2671</v>
      </c>
      <c r="D141" s="38" t="s">
        <v>253</v>
      </c>
      <c r="E141" s="104" t="s">
        <v>2995</v>
      </c>
      <c r="F141" s="114">
        <v>94871.98</v>
      </c>
      <c r="G141" s="104" t="s">
        <v>2998</v>
      </c>
      <c r="H141" s="40" t="s">
        <v>2672</v>
      </c>
      <c r="I141" s="114">
        <v>0</v>
      </c>
    </row>
    <row r="142" spans="1:9" s="6" customFormat="1" ht="38.25" x14ac:dyDescent="0.2">
      <c r="A142" s="109">
        <v>136</v>
      </c>
      <c r="B142" s="42" t="s">
        <v>3011</v>
      </c>
      <c r="C142" s="40" t="s">
        <v>3012</v>
      </c>
      <c r="D142" s="38" t="s">
        <v>253</v>
      </c>
      <c r="E142" s="40" t="s">
        <v>294</v>
      </c>
      <c r="F142" s="114">
        <v>120000</v>
      </c>
      <c r="G142" s="104" t="s">
        <v>3013</v>
      </c>
      <c r="H142" s="40" t="s">
        <v>3014</v>
      </c>
      <c r="I142" s="114">
        <v>0</v>
      </c>
    </row>
    <row r="143" spans="1:9" s="6" customFormat="1" ht="38.25" x14ac:dyDescent="0.2">
      <c r="A143" s="109">
        <v>137</v>
      </c>
      <c r="B143" s="42" t="s">
        <v>3054</v>
      </c>
      <c r="C143" s="40" t="s">
        <v>3055</v>
      </c>
      <c r="D143" s="38" t="s">
        <v>253</v>
      </c>
      <c r="E143" s="40" t="s">
        <v>729</v>
      </c>
      <c r="F143" s="114">
        <v>118176.25</v>
      </c>
      <c r="G143" s="104" t="s">
        <v>3056</v>
      </c>
      <c r="H143" s="40" t="s">
        <v>2651</v>
      </c>
      <c r="I143" s="114">
        <v>0</v>
      </c>
    </row>
    <row r="144" spans="1:9" s="6" customFormat="1" ht="38.25" x14ac:dyDescent="0.2">
      <c r="A144" s="109">
        <v>138</v>
      </c>
      <c r="B144" s="38" t="s">
        <v>3140</v>
      </c>
      <c r="C144" s="40" t="s">
        <v>3141</v>
      </c>
      <c r="D144" s="38" t="s">
        <v>253</v>
      </c>
      <c r="E144" s="40" t="s">
        <v>249</v>
      </c>
      <c r="F144" s="114">
        <v>247500</v>
      </c>
      <c r="G144" s="104" t="s">
        <v>3142</v>
      </c>
      <c r="H144" s="40" t="s">
        <v>3146</v>
      </c>
      <c r="I144" s="114">
        <v>0</v>
      </c>
    </row>
    <row r="145" spans="1:9" s="6" customFormat="1" ht="38.25" x14ac:dyDescent="0.2">
      <c r="A145" s="109">
        <v>139</v>
      </c>
      <c r="B145" s="38" t="s">
        <v>3143</v>
      </c>
      <c r="C145" s="40" t="s">
        <v>3144</v>
      </c>
      <c r="D145" s="38" t="s">
        <v>253</v>
      </c>
      <c r="E145" s="40" t="s">
        <v>249</v>
      </c>
      <c r="F145" s="114">
        <v>247500</v>
      </c>
      <c r="G145" s="104" t="s">
        <v>3145</v>
      </c>
      <c r="H145" s="40" t="s">
        <v>3146</v>
      </c>
      <c r="I145" s="114">
        <v>0</v>
      </c>
    </row>
    <row r="146" spans="1:9" s="6" customFormat="1" ht="38.25" x14ac:dyDescent="0.2">
      <c r="A146" s="109">
        <v>140</v>
      </c>
      <c r="B146" s="38" t="s">
        <v>3147</v>
      </c>
      <c r="C146" s="40" t="s">
        <v>3148</v>
      </c>
      <c r="D146" s="38" t="s">
        <v>253</v>
      </c>
      <c r="E146" s="40" t="s">
        <v>249</v>
      </c>
      <c r="F146" s="114">
        <v>247500</v>
      </c>
      <c r="G146" s="104" t="s">
        <v>3149</v>
      </c>
      <c r="H146" s="40" t="s">
        <v>3146</v>
      </c>
      <c r="I146" s="114">
        <v>0</v>
      </c>
    </row>
    <row r="147" spans="1:9" s="6" customFormat="1" ht="38.25" x14ac:dyDescent="0.2">
      <c r="A147" s="109">
        <v>141</v>
      </c>
      <c r="B147" s="38" t="s">
        <v>3213</v>
      </c>
      <c r="C147" s="40" t="s">
        <v>3214</v>
      </c>
      <c r="D147" s="38" t="s">
        <v>253</v>
      </c>
      <c r="E147" s="40" t="s">
        <v>1811</v>
      </c>
      <c r="F147" s="114">
        <v>87500</v>
      </c>
      <c r="G147" s="104" t="s">
        <v>3215</v>
      </c>
      <c r="H147" s="115">
        <v>42719</v>
      </c>
      <c r="I147" s="114">
        <v>0</v>
      </c>
    </row>
    <row r="148" spans="1:9" s="6" customFormat="1" ht="38.25" x14ac:dyDescent="0.2">
      <c r="A148" s="109">
        <v>142</v>
      </c>
      <c r="B148" s="38" t="s">
        <v>3216</v>
      </c>
      <c r="C148" s="40" t="s">
        <v>3217</v>
      </c>
      <c r="D148" s="38" t="s">
        <v>253</v>
      </c>
      <c r="E148" s="40" t="s">
        <v>1811</v>
      </c>
      <c r="F148" s="114">
        <v>143750</v>
      </c>
      <c r="G148" s="104" t="s">
        <v>3218</v>
      </c>
      <c r="H148" s="115">
        <v>42719</v>
      </c>
      <c r="I148" s="114">
        <v>0</v>
      </c>
    </row>
    <row r="149" spans="1:9" s="6" customFormat="1" ht="38.25" x14ac:dyDescent="0.2">
      <c r="A149" s="109">
        <v>143</v>
      </c>
      <c r="B149" s="38" t="s">
        <v>3287</v>
      </c>
      <c r="C149" s="40" t="s">
        <v>3286</v>
      </c>
      <c r="D149" s="38" t="s">
        <v>253</v>
      </c>
      <c r="E149" s="40" t="s">
        <v>1315</v>
      </c>
      <c r="F149" s="114">
        <f>74900*1.25</f>
        <v>93625</v>
      </c>
      <c r="G149" s="104" t="s">
        <v>3288</v>
      </c>
      <c r="H149" s="115">
        <v>42734</v>
      </c>
      <c r="I149" s="114">
        <v>0</v>
      </c>
    </row>
    <row r="150" spans="1:9" s="6" customFormat="1" ht="38.25" x14ac:dyDescent="0.2">
      <c r="A150" s="109">
        <v>144</v>
      </c>
      <c r="B150" s="42" t="s">
        <v>3289</v>
      </c>
      <c r="C150" s="40" t="s">
        <v>3290</v>
      </c>
      <c r="D150" s="38" t="s">
        <v>253</v>
      </c>
      <c r="E150" s="40" t="s">
        <v>78</v>
      </c>
      <c r="F150" s="114">
        <f>194200*1.25</f>
        <v>242750</v>
      </c>
      <c r="G150" s="104" t="s">
        <v>3291</v>
      </c>
      <c r="H150" s="115">
        <v>42724</v>
      </c>
      <c r="I150" s="114">
        <v>242750</v>
      </c>
    </row>
    <row r="151" spans="1:9" s="6" customFormat="1" ht="38.25" x14ac:dyDescent="0.2">
      <c r="A151" s="109">
        <v>145</v>
      </c>
      <c r="B151" s="42" t="s">
        <v>3294</v>
      </c>
      <c r="C151" s="40" t="s">
        <v>3295</v>
      </c>
      <c r="D151" s="38" t="s">
        <v>253</v>
      </c>
      <c r="E151" s="40" t="s">
        <v>3296</v>
      </c>
      <c r="F151" s="114">
        <v>107455.45</v>
      </c>
      <c r="G151" s="104" t="s">
        <v>3297</v>
      </c>
      <c r="H151" s="115">
        <v>42727</v>
      </c>
      <c r="I151" s="114">
        <v>0</v>
      </c>
    </row>
    <row r="152" spans="1:9" s="6" customFormat="1" ht="38.25" x14ac:dyDescent="0.2">
      <c r="A152" s="109">
        <v>146</v>
      </c>
      <c r="B152" s="38" t="s">
        <v>3316</v>
      </c>
      <c r="C152" s="40" t="s">
        <v>3317</v>
      </c>
      <c r="D152" s="38" t="s">
        <v>253</v>
      </c>
      <c r="E152" s="40" t="s">
        <v>638</v>
      </c>
      <c r="F152" s="114">
        <v>94235.83</v>
      </c>
      <c r="G152" s="104" t="s">
        <v>3318</v>
      </c>
      <c r="H152" s="115">
        <v>42732</v>
      </c>
      <c r="I152" s="114">
        <v>0</v>
      </c>
    </row>
    <row r="153" spans="1:9" s="6" customFormat="1" ht="38.25" x14ac:dyDescent="0.2">
      <c r="A153" s="109">
        <v>147</v>
      </c>
      <c r="B153" s="42" t="s">
        <v>3350</v>
      </c>
      <c r="C153" s="40" t="s">
        <v>3351</v>
      </c>
      <c r="D153" s="38" t="s">
        <v>253</v>
      </c>
      <c r="E153" s="40" t="s">
        <v>227</v>
      </c>
      <c r="F153" s="114">
        <v>243750</v>
      </c>
      <c r="G153" s="104" t="s">
        <v>3352</v>
      </c>
      <c r="H153" s="40" t="s">
        <v>3353</v>
      </c>
      <c r="I153" s="114">
        <v>0</v>
      </c>
    </row>
    <row r="154" spans="1:9" s="6" customFormat="1" ht="38.25" x14ac:dyDescent="0.2">
      <c r="A154" s="109">
        <v>148</v>
      </c>
      <c r="B154" s="38" t="s">
        <v>3354</v>
      </c>
      <c r="C154" s="40" t="s">
        <v>3355</v>
      </c>
      <c r="D154" s="38" t="s">
        <v>253</v>
      </c>
      <c r="E154" s="40" t="s">
        <v>1811</v>
      </c>
      <c r="F154" s="114">
        <v>211125</v>
      </c>
      <c r="G154" s="104" t="s">
        <v>3356</v>
      </c>
      <c r="H154" s="40" t="s">
        <v>3357</v>
      </c>
      <c r="I154" s="114">
        <v>0</v>
      </c>
    </row>
    <row r="155" spans="1:9" s="6" customFormat="1" ht="38.25" x14ac:dyDescent="0.2">
      <c r="A155" s="109">
        <v>149</v>
      </c>
      <c r="B155" s="38" t="s">
        <v>3358</v>
      </c>
      <c r="C155" s="40" t="s">
        <v>3359</v>
      </c>
      <c r="D155" s="38" t="s">
        <v>253</v>
      </c>
      <c r="E155" s="40" t="s">
        <v>1315</v>
      </c>
      <c r="F155" s="114">
        <v>97500</v>
      </c>
      <c r="G155" s="104" t="s">
        <v>3360</v>
      </c>
      <c r="H155" s="40" t="s">
        <v>2931</v>
      </c>
      <c r="I155" s="114">
        <v>0</v>
      </c>
    </row>
    <row r="156" spans="1:9" s="6" customFormat="1" ht="38.25" x14ac:dyDescent="0.2">
      <c r="A156" s="109">
        <v>150</v>
      </c>
      <c r="B156" s="38" t="s">
        <v>3377</v>
      </c>
      <c r="C156" s="40" t="s">
        <v>3378</v>
      </c>
      <c r="D156" s="38" t="s">
        <v>253</v>
      </c>
      <c r="E156" s="104" t="s">
        <v>3379</v>
      </c>
      <c r="F156" s="114">
        <v>158737.5</v>
      </c>
      <c r="G156" s="104" t="s">
        <v>3380</v>
      </c>
      <c r="H156" s="40" t="s">
        <v>3381</v>
      </c>
      <c r="I156" s="114">
        <v>158737.5</v>
      </c>
    </row>
    <row r="157" spans="1:9" s="6" customFormat="1" ht="38.25" x14ac:dyDescent="0.2">
      <c r="A157" s="109">
        <v>151</v>
      </c>
      <c r="B157" s="42" t="s">
        <v>3382</v>
      </c>
      <c r="C157" s="40" t="s">
        <v>3378</v>
      </c>
      <c r="D157" s="38" t="s">
        <v>253</v>
      </c>
      <c r="E157" s="104" t="s">
        <v>3383</v>
      </c>
      <c r="F157" s="114">
        <v>28750</v>
      </c>
      <c r="G157" s="104" t="s">
        <v>3384</v>
      </c>
      <c r="H157" s="40" t="s">
        <v>3381</v>
      </c>
      <c r="I157" s="114">
        <v>28750</v>
      </c>
    </row>
    <row r="158" spans="1:9" s="6" customFormat="1" ht="38.25" x14ac:dyDescent="0.2">
      <c r="A158" s="109">
        <v>152</v>
      </c>
      <c r="B158" s="42" t="s">
        <v>3385</v>
      </c>
      <c r="C158" s="40" t="s">
        <v>3378</v>
      </c>
      <c r="D158" s="38" t="s">
        <v>253</v>
      </c>
      <c r="E158" s="104" t="s">
        <v>3383</v>
      </c>
      <c r="F158" s="114">
        <v>41750</v>
      </c>
      <c r="G158" s="104" t="s">
        <v>3386</v>
      </c>
      <c r="H158" s="40" t="s">
        <v>3381</v>
      </c>
      <c r="I158" s="114">
        <v>0</v>
      </c>
    </row>
    <row r="159" spans="1:9" s="6" customFormat="1" ht="38.25" x14ac:dyDescent="0.2">
      <c r="A159" s="109">
        <v>153</v>
      </c>
      <c r="B159" s="38" t="s">
        <v>3390</v>
      </c>
      <c r="C159" s="40" t="s">
        <v>3391</v>
      </c>
      <c r="D159" s="38" t="s">
        <v>253</v>
      </c>
      <c r="E159" s="40" t="s">
        <v>1232</v>
      </c>
      <c r="F159" s="114">
        <v>122528.75</v>
      </c>
      <c r="G159" s="104" t="s">
        <v>3392</v>
      </c>
      <c r="H159" s="40" t="s">
        <v>3393</v>
      </c>
      <c r="I159" s="114">
        <v>0</v>
      </c>
    </row>
    <row r="160" spans="1:9" s="6" customFormat="1" ht="38.25" x14ac:dyDescent="0.2">
      <c r="A160" s="109">
        <v>154</v>
      </c>
      <c r="B160" s="42" t="s">
        <v>3474</v>
      </c>
      <c r="C160" s="40"/>
      <c r="D160" s="38" t="s">
        <v>253</v>
      </c>
      <c r="E160" s="40" t="s">
        <v>3475</v>
      </c>
      <c r="F160" s="114">
        <f>103400*1.25</f>
        <v>129250</v>
      </c>
      <c r="G160" s="104" t="s">
        <v>3476</v>
      </c>
      <c r="H160" s="40" t="s">
        <v>3079</v>
      </c>
      <c r="I160" s="114">
        <v>129250</v>
      </c>
    </row>
    <row r="161" spans="1:9" s="6" customFormat="1" ht="38.25" x14ac:dyDescent="0.2">
      <c r="A161" s="109">
        <v>155</v>
      </c>
      <c r="B161" s="42" t="s">
        <v>3510</v>
      </c>
      <c r="C161" s="40" t="s">
        <v>3511</v>
      </c>
      <c r="D161" s="38" t="s">
        <v>253</v>
      </c>
      <c r="E161" s="40" t="s">
        <v>1811</v>
      </c>
      <c r="F161" s="114">
        <f>192984*1.25</f>
        <v>241230</v>
      </c>
      <c r="G161" s="104" t="s">
        <v>3512</v>
      </c>
      <c r="H161" s="40" t="s">
        <v>3513</v>
      </c>
      <c r="I161" s="114">
        <v>0</v>
      </c>
    </row>
    <row r="162" spans="1:9" s="6" customFormat="1" ht="38.25" x14ac:dyDescent="0.2">
      <c r="A162" s="109">
        <v>156</v>
      </c>
      <c r="B162" s="107" t="s">
        <v>3606</v>
      </c>
      <c r="C162" s="40" t="s">
        <v>3607</v>
      </c>
      <c r="D162" s="38" t="s">
        <v>253</v>
      </c>
      <c r="E162" s="40" t="s">
        <v>249</v>
      </c>
      <c r="F162" s="114">
        <v>224985.69</v>
      </c>
      <c r="G162" s="104" t="s">
        <v>3608</v>
      </c>
      <c r="H162" s="40" t="s">
        <v>3393</v>
      </c>
      <c r="I162" s="114">
        <v>0</v>
      </c>
    </row>
    <row r="163" spans="1:9" s="6" customFormat="1" ht="38.25" x14ac:dyDescent="0.2">
      <c r="A163" s="109">
        <v>157</v>
      </c>
      <c r="B163" s="38" t="s">
        <v>3609</v>
      </c>
      <c r="C163" s="40" t="s">
        <v>3610</v>
      </c>
      <c r="D163" s="38" t="s">
        <v>253</v>
      </c>
      <c r="E163" s="40" t="s">
        <v>598</v>
      </c>
      <c r="F163" s="114">
        <f>(56479.53+106352)*1.25</f>
        <v>203539.41250000001</v>
      </c>
      <c r="G163" s="104" t="s">
        <v>3611</v>
      </c>
      <c r="H163" s="40" t="s">
        <v>3393</v>
      </c>
      <c r="I163" s="114">
        <v>0</v>
      </c>
    </row>
    <row r="164" spans="1:9" s="6" customFormat="1" ht="38.25" x14ac:dyDescent="0.2">
      <c r="A164" s="109">
        <v>158</v>
      </c>
      <c r="B164" s="38" t="s">
        <v>3615</v>
      </c>
      <c r="C164" s="40" t="s">
        <v>3616</v>
      </c>
      <c r="D164" s="38" t="s">
        <v>253</v>
      </c>
      <c r="E164" s="40" t="s">
        <v>1280</v>
      </c>
      <c r="F164" s="114">
        <v>168000</v>
      </c>
      <c r="G164" s="104" t="s">
        <v>3617</v>
      </c>
      <c r="H164" s="40" t="s">
        <v>3618</v>
      </c>
      <c r="I164" s="114">
        <v>0</v>
      </c>
    </row>
    <row r="165" spans="1:9" s="6" customFormat="1" ht="38.25" x14ac:dyDescent="0.2">
      <c r="A165" s="109">
        <v>159</v>
      </c>
      <c r="B165" s="38" t="s">
        <v>3619</v>
      </c>
      <c r="C165" s="40" t="s">
        <v>3620</v>
      </c>
      <c r="D165" s="38" t="s">
        <v>253</v>
      </c>
      <c r="E165" s="40" t="s">
        <v>3621</v>
      </c>
      <c r="F165" s="114">
        <v>229500</v>
      </c>
      <c r="G165" s="104" t="s">
        <v>3622</v>
      </c>
      <c r="H165" s="115" t="s">
        <v>3393</v>
      </c>
      <c r="I165" s="114">
        <v>0</v>
      </c>
    </row>
    <row r="166" spans="1:9" s="6" customFormat="1" ht="38.25" x14ac:dyDescent="0.2">
      <c r="A166" s="109">
        <v>160</v>
      </c>
      <c r="B166" s="42" t="s">
        <v>3623</v>
      </c>
      <c r="C166" s="40" t="s">
        <v>3624</v>
      </c>
      <c r="D166" s="38" t="s">
        <v>253</v>
      </c>
      <c r="E166" s="40" t="s">
        <v>1232</v>
      </c>
      <c r="F166" s="114">
        <v>243731.25</v>
      </c>
      <c r="G166" s="104" t="s">
        <v>3625</v>
      </c>
      <c r="H166" s="40" t="s">
        <v>3393</v>
      </c>
      <c r="I166" s="114">
        <v>0</v>
      </c>
    </row>
    <row r="167" spans="1:9" s="6" customFormat="1" ht="25.5" x14ac:dyDescent="0.2">
      <c r="A167" s="109">
        <v>161</v>
      </c>
      <c r="B167" s="42" t="s">
        <v>3657</v>
      </c>
      <c r="C167" s="40" t="s">
        <v>3658</v>
      </c>
      <c r="D167" s="38" t="s">
        <v>253</v>
      </c>
      <c r="E167" s="40" t="s">
        <v>530</v>
      </c>
      <c r="F167" s="114">
        <f>75300*1.25</f>
        <v>94125</v>
      </c>
      <c r="G167" s="104" t="s">
        <v>4252</v>
      </c>
      <c r="H167" s="40" t="s">
        <v>3393</v>
      </c>
      <c r="I167" s="114">
        <v>0</v>
      </c>
    </row>
    <row r="168" spans="1:9" s="6" customFormat="1" ht="25.5" x14ac:dyDescent="0.2">
      <c r="A168" s="109">
        <v>162</v>
      </c>
      <c r="B168" s="42" t="s">
        <v>3659</v>
      </c>
      <c r="C168" s="40" t="s">
        <v>3660</v>
      </c>
      <c r="D168" s="38" t="s">
        <v>253</v>
      </c>
      <c r="E168" s="40" t="s">
        <v>598</v>
      </c>
      <c r="F168" s="114">
        <v>150000</v>
      </c>
      <c r="G168" s="104" t="s">
        <v>3661</v>
      </c>
      <c r="H168" s="40" t="s">
        <v>3393</v>
      </c>
      <c r="I168" s="114">
        <v>0</v>
      </c>
    </row>
    <row r="169" spans="1:9" s="6" customFormat="1" ht="25.5" x14ac:dyDescent="0.2">
      <c r="A169" s="109">
        <v>163</v>
      </c>
      <c r="B169" s="42" t="s">
        <v>3662</v>
      </c>
      <c r="C169" s="40" t="s">
        <v>3663</v>
      </c>
      <c r="D169" s="38" t="s">
        <v>253</v>
      </c>
      <c r="E169" s="40" t="s">
        <v>91</v>
      </c>
      <c r="F169" s="125">
        <v>142500</v>
      </c>
      <c r="G169" s="104" t="s">
        <v>3664</v>
      </c>
      <c r="H169" s="40" t="s">
        <v>3393</v>
      </c>
      <c r="I169" s="114">
        <v>0</v>
      </c>
    </row>
    <row r="170" spans="1:9" s="6" customFormat="1" ht="38.25" x14ac:dyDescent="0.2">
      <c r="A170" s="109">
        <v>164</v>
      </c>
      <c r="B170" s="42" t="s">
        <v>3665</v>
      </c>
      <c r="C170" s="40" t="s">
        <v>3666</v>
      </c>
      <c r="D170" s="38" t="s">
        <v>253</v>
      </c>
      <c r="E170" s="40" t="s">
        <v>1811</v>
      </c>
      <c r="F170" s="126">
        <f>195000*1.25</f>
        <v>243750</v>
      </c>
      <c r="G170" s="104" t="s">
        <v>3667</v>
      </c>
      <c r="H170" s="40" t="s">
        <v>3357</v>
      </c>
      <c r="I170" s="114">
        <v>0</v>
      </c>
    </row>
    <row r="171" spans="1:9" s="6" customFormat="1" ht="25.5" x14ac:dyDescent="0.2">
      <c r="A171" s="109">
        <v>165</v>
      </c>
      <c r="B171" s="42" t="s">
        <v>3680</v>
      </c>
      <c r="C171" s="40" t="s">
        <v>3681</v>
      </c>
      <c r="D171" s="38" t="s">
        <v>253</v>
      </c>
      <c r="E171" s="40" t="s">
        <v>3682</v>
      </c>
      <c r="F171" s="114">
        <v>8512.5</v>
      </c>
      <c r="G171" s="104" t="s">
        <v>3683</v>
      </c>
      <c r="H171" s="40" t="s">
        <v>3684</v>
      </c>
      <c r="I171" s="114">
        <v>0</v>
      </c>
    </row>
    <row r="172" spans="1:9" s="6" customFormat="1" ht="38.25" x14ac:dyDescent="0.2">
      <c r="A172" s="109">
        <v>166</v>
      </c>
      <c r="B172" s="42" t="s">
        <v>3690</v>
      </c>
      <c r="C172" s="40" t="s">
        <v>3691</v>
      </c>
      <c r="D172" s="38" t="s">
        <v>253</v>
      </c>
      <c r="E172" s="40" t="s">
        <v>3475</v>
      </c>
      <c r="F172" s="114">
        <v>118750</v>
      </c>
      <c r="G172" s="104" t="s">
        <v>3692</v>
      </c>
      <c r="H172" s="40" t="s">
        <v>3357</v>
      </c>
      <c r="I172" s="114">
        <v>0</v>
      </c>
    </row>
    <row r="173" spans="1:9" s="6" customFormat="1" ht="25.5" x14ac:dyDescent="0.2">
      <c r="A173" s="109">
        <v>167</v>
      </c>
      <c r="B173" s="42" t="s">
        <v>3996</v>
      </c>
      <c r="C173" s="40" t="s">
        <v>3681</v>
      </c>
      <c r="D173" s="38" t="s">
        <v>253</v>
      </c>
      <c r="E173" s="40" t="s">
        <v>578</v>
      </c>
      <c r="F173" s="114">
        <v>12156.25</v>
      </c>
      <c r="G173" s="104" t="s">
        <v>3997</v>
      </c>
      <c r="H173" s="40" t="s">
        <v>3684</v>
      </c>
      <c r="I173" s="114">
        <v>0</v>
      </c>
    </row>
    <row r="174" spans="1:9" s="6" customFormat="1" ht="25.5" x14ac:dyDescent="0.2">
      <c r="A174" s="109">
        <v>168</v>
      </c>
      <c r="B174" s="42" t="s">
        <v>4113</v>
      </c>
      <c r="C174" s="40" t="s">
        <v>3681</v>
      </c>
      <c r="D174" s="38" t="s">
        <v>253</v>
      </c>
      <c r="E174" s="40" t="s">
        <v>347</v>
      </c>
      <c r="F174" s="114">
        <v>34375</v>
      </c>
      <c r="G174" s="104" t="s">
        <v>4114</v>
      </c>
      <c r="H174" s="40" t="s">
        <v>3684</v>
      </c>
      <c r="I174" s="114">
        <v>0</v>
      </c>
    </row>
    <row r="175" spans="1:9" s="6" customFormat="1" ht="38.25" x14ac:dyDescent="0.2">
      <c r="A175" s="109">
        <v>169</v>
      </c>
      <c r="B175" s="42" t="s">
        <v>1065</v>
      </c>
      <c r="C175" s="40" t="s">
        <v>1066</v>
      </c>
      <c r="D175" s="38" t="s">
        <v>253</v>
      </c>
      <c r="E175" s="40" t="s">
        <v>530</v>
      </c>
      <c r="F175" s="112">
        <f>51534.75+96941.25+18884.25</f>
        <v>167360.25</v>
      </c>
      <c r="G175" s="29" t="s">
        <v>1067</v>
      </c>
      <c r="H175" s="40" t="s">
        <v>4141</v>
      </c>
      <c r="I175" s="114">
        <v>0</v>
      </c>
    </row>
    <row r="176" spans="1:9" ht="38.25" x14ac:dyDescent="0.2">
      <c r="A176" s="109">
        <v>170</v>
      </c>
      <c r="B176" s="15" t="s">
        <v>4146</v>
      </c>
      <c r="C176" s="25" t="s">
        <v>4144</v>
      </c>
      <c r="D176" s="37" t="s">
        <v>253</v>
      </c>
      <c r="E176" s="25" t="s">
        <v>1280</v>
      </c>
      <c r="F176" s="18">
        <v>200000</v>
      </c>
      <c r="G176" s="29" t="s">
        <v>4145</v>
      </c>
      <c r="H176" s="25" t="s">
        <v>3679</v>
      </c>
      <c r="I176" s="114">
        <v>0</v>
      </c>
    </row>
  </sheetData>
  <autoFilter ref="A6:I176"/>
  <mergeCells count="2">
    <mergeCell ref="A1:B1"/>
    <mergeCell ref="A2:B2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colBreaks count="1" manualBreakCount="1">
    <brk id="8" max="10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="80" zoomScaleNormal="80" workbookViewId="0">
      <pane ySplit="6" topLeftCell="A33" activePane="bottomLeft" state="frozen"/>
      <selection pane="bottomLeft" activeCell="A7" sqref="A7:A40"/>
    </sheetView>
  </sheetViews>
  <sheetFormatPr defaultRowHeight="12.75" x14ac:dyDescent="0.2"/>
  <cols>
    <col min="1" max="1" width="10.5703125" customWidth="1"/>
    <col min="2" max="2" width="60.28515625" customWidth="1"/>
    <col min="3" max="3" width="20.28515625" customWidth="1"/>
    <col min="4" max="4" width="13.28515625" customWidth="1"/>
    <col min="5" max="5" width="20.140625" customWidth="1"/>
    <col min="6" max="6" width="15.140625" customWidth="1"/>
    <col min="7" max="7" width="29.5703125" customWidth="1"/>
    <col min="8" max="8" width="11.7109375" customWidth="1"/>
    <col min="9" max="9" width="13.85546875" customWidth="1"/>
  </cols>
  <sheetData>
    <row r="1" spans="1:10" x14ac:dyDescent="0.2">
      <c r="A1" s="213" t="s">
        <v>6</v>
      </c>
      <c r="B1" s="213"/>
      <c r="C1" s="1"/>
      <c r="D1" s="13"/>
      <c r="E1" s="2"/>
      <c r="F1" s="3"/>
      <c r="G1" s="4"/>
      <c r="H1" s="5"/>
      <c r="I1" s="3"/>
      <c r="J1" s="7"/>
    </row>
    <row r="2" spans="1:10" x14ac:dyDescent="0.2">
      <c r="A2" s="213" t="s">
        <v>1283</v>
      </c>
      <c r="B2" s="213"/>
      <c r="C2" s="1"/>
      <c r="D2" s="13"/>
      <c r="E2" s="2"/>
      <c r="F2" s="3"/>
      <c r="G2" s="4"/>
      <c r="H2" s="5"/>
      <c r="I2" s="3"/>
      <c r="J2" s="7"/>
    </row>
    <row r="4" spans="1:10" x14ac:dyDescent="0.2">
      <c r="A4" s="1" t="s">
        <v>4157</v>
      </c>
    </row>
    <row r="5" spans="1:10" ht="12" customHeight="1" x14ac:dyDescent="0.2"/>
    <row r="6" spans="1:10" ht="76.5" x14ac:dyDescent="0.2">
      <c r="A6" s="30" t="s">
        <v>467</v>
      </c>
      <c r="B6" s="30" t="s">
        <v>7</v>
      </c>
      <c r="C6" s="30" t="s">
        <v>468</v>
      </c>
      <c r="D6" s="30" t="s">
        <v>9</v>
      </c>
      <c r="E6" s="59" t="s">
        <v>1394</v>
      </c>
      <c r="F6" s="30" t="s">
        <v>469</v>
      </c>
      <c r="G6" s="30" t="s">
        <v>10</v>
      </c>
      <c r="H6" s="30" t="s">
        <v>13</v>
      </c>
      <c r="I6" s="30" t="s">
        <v>14</v>
      </c>
    </row>
    <row r="7" spans="1:10" ht="38.25" x14ac:dyDescent="0.2">
      <c r="A7" s="34">
        <v>1</v>
      </c>
      <c r="B7" s="12" t="s">
        <v>928</v>
      </c>
      <c r="C7" s="101" t="s">
        <v>4219</v>
      </c>
      <c r="D7" s="25" t="s">
        <v>479</v>
      </c>
      <c r="E7" s="18">
        <v>307301.40000000002</v>
      </c>
      <c r="F7" s="12" t="s">
        <v>901</v>
      </c>
      <c r="G7" s="25" t="s">
        <v>78</v>
      </c>
      <c r="H7" s="28">
        <v>43257</v>
      </c>
      <c r="I7" s="18">
        <v>0</v>
      </c>
    </row>
    <row r="8" spans="1:10" ht="38.25" x14ac:dyDescent="0.2">
      <c r="A8" s="34">
        <v>2</v>
      </c>
      <c r="B8" s="12" t="s">
        <v>927</v>
      </c>
      <c r="C8" s="101" t="s">
        <v>4219</v>
      </c>
      <c r="D8" s="25" t="s">
        <v>479</v>
      </c>
      <c r="E8" s="18">
        <f>877630.95+2029395.06+2370132.3+469852.03+531473.25+918348.96+2259954.45</f>
        <v>9456787</v>
      </c>
      <c r="F8" s="12" t="s">
        <v>900</v>
      </c>
      <c r="G8" s="25" t="s">
        <v>45</v>
      </c>
      <c r="H8" s="28">
        <v>43257</v>
      </c>
      <c r="I8" s="18">
        <v>0</v>
      </c>
    </row>
    <row r="9" spans="1:10" ht="38.25" x14ac:dyDescent="0.2">
      <c r="A9" s="34">
        <v>3</v>
      </c>
      <c r="B9" s="12" t="s">
        <v>924</v>
      </c>
      <c r="C9" s="101" t="s">
        <v>4219</v>
      </c>
      <c r="D9" s="25" t="s">
        <v>479</v>
      </c>
      <c r="E9" s="18">
        <v>190744.51</v>
      </c>
      <c r="F9" s="12" t="s">
        <v>923</v>
      </c>
      <c r="G9" s="25" t="s">
        <v>230</v>
      </c>
      <c r="H9" s="28">
        <v>43257</v>
      </c>
      <c r="I9" s="18">
        <v>0</v>
      </c>
    </row>
    <row r="10" spans="1:10" ht="38.25" x14ac:dyDescent="0.2">
      <c r="A10" s="34">
        <v>4</v>
      </c>
      <c r="B10" s="12" t="s">
        <v>933</v>
      </c>
      <c r="C10" s="101" t="s">
        <v>4219</v>
      </c>
      <c r="D10" s="25" t="s">
        <v>479</v>
      </c>
      <c r="E10" s="18">
        <f>5053985.2+303476.5+438746</f>
        <v>5796207.7000000002</v>
      </c>
      <c r="F10" s="12" t="s">
        <v>932</v>
      </c>
      <c r="G10" s="25" t="s">
        <v>931</v>
      </c>
      <c r="H10" s="28">
        <v>43257</v>
      </c>
      <c r="I10" s="18">
        <v>0</v>
      </c>
    </row>
    <row r="11" spans="1:10" ht="38.25" x14ac:dyDescent="0.2">
      <c r="A11" s="34">
        <v>5</v>
      </c>
      <c r="B11" s="12" t="s">
        <v>938</v>
      </c>
      <c r="C11" s="101" t="s">
        <v>4219</v>
      </c>
      <c r="D11" s="25" t="s">
        <v>479</v>
      </c>
      <c r="E11" s="18">
        <v>41855</v>
      </c>
      <c r="F11" s="12" t="s">
        <v>939</v>
      </c>
      <c r="G11" s="25" t="s">
        <v>724</v>
      </c>
      <c r="H11" s="28">
        <v>43257</v>
      </c>
      <c r="I11" s="18">
        <v>0</v>
      </c>
    </row>
    <row r="12" spans="1:10" ht="38.25" x14ac:dyDescent="0.2">
      <c r="A12" s="34">
        <v>6</v>
      </c>
      <c r="B12" s="12" t="s">
        <v>945</v>
      </c>
      <c r="C12" s="101" t="s">
        <v>4219</v>
      </c>
      <c r="D12" s="25" t="s">
        <v>479</v>
      </c>
      <c r="E12" s="18">
        <f>209510+405636+326340+158130+73042.2+51752.5+263602.5+553959+670950+33000+525201.6</f>
        <v>3271123.8000000003</v>
      </c>
      <c r="F12" s="12" t="s">
        <v>946</v>
      </c>
      <c r="G12" s="25" t="s">
        <v>947</v>
      </c>
      <c r="H12" s="28">
        <v>43257</v>
      </c>
      <c r="I12" s="18">
        <v>0</v>
      </c>
    </row>
    <row r="13" spans="1:10" ht="38.25" x14ac:dyDescent="0.2">
      <c r="A13" s="34">
        <v>7</v>
      </c>
      <c r="B13" s="12" t="s">
        <v>965</v>
      </c>
      <c r="C13" s="101" t="s">
        <v>4219</v>
      </c>
      <c r="D13" s="25" t="s">
        <v>479</v>
      </c>
      <c r="E13" s="18">
        <v>6887.13</v>
      </c>
      <c r="F13" s="12" t="s">
        <v>964</v>
      </c>
      <c r="G13" s="25" t="s">
        <v>146</v>
      </c>
      <c r="H13" s="28">
        <v>43257</v>
      </c>
      <c r="I13" s="18">
        <v>0</v>
      </c>
    </row>
    <row r="14" spans="1:10" ht="38.25" x14ac:dyDescent="0.2">
      <c r="A14" s="34">
        <v>8</v>
      </c>
      <c r="B14" s="12" t="s">
        <v>1053</v>
      </c>
      <c r="C14" s="101" t="s">
        <v>4225</v>
      </c>
      <c r="D14" s="25" t="s">
        <v>479</v>
      </c>
      <c r="E14" s="18">
        <v>805087</v>
      </c>
      <c r="F14" s="12" t="s">
        <v>1054</v>
      </c>
      <c r="G14" s="25" t="s">
        <v>347</v>
      </c>
      <c r="H14" s="28">
        <v>43285</v>
      </c>
      <c r="I14" s="18">
        <v>0</v>
      </c>
    </row>
    <row r="15" spans="1:10" ht="38.25" x14ac:dyDescent="0.2">
      <c r="A15" s="34">
        <v>9</v>
      </c>
      <c r="B15" s="12" t="s">
        <v>1059</v>
      </c>
      <c r="C15" s="101" t="s">
        <v>4220</v>
      </c>
      <c r="D15" s="25" t="s">
        <v>479</v>
      </c>
      <c r="E15" s="18">
        <v>256201.25</v>
      </c>
      <c r="F15" s="12" t="s">
        <v>1060</v>
      </c>
      <c r="G15" s="25" t="s">
        <v>91</v>
      </c>
      <c r="H15" s="28">
        <v>43293</v>
      </c>
      <c r="I15" s="18">
        <v>0</v>
      </c>
    </row>
    <row r="16" spans="1:10" ht="38.25" x14ac:dyDescent="0.2">
      <c r="A16" s="34">
        <v>10</v>
      </c>
      <c r="B16" s="12" t="s">
        <v>1069</v>
      </c>
      <c r="C16" s="101" t="s">
        <v>4220</v>
      </c>
      <c r="D16" s="25" t="s">
        <v>479</v>
      </c>
      <c r="E16" s="18">
        <v>1125000.01</v>
      </c>
      <c r="F16" s="12" t="s">
        <v>1070</v>
      </c>
      <c r="G16" s="25" t="s">
        <v>78</v>
      </c>
      <c r="H16" s="28">
        <v>43293</v>
      </c>
      <c r="I16" s="18">
        <v>0</v>
      </c>
    </row>
    <row r="17" spans="1:9" ht="38.25" x14ac:dyDescent="0.2">
      <c r="A17" s="34">
        <v>11</v>
      </c>
      <c r="B17" s="12" t="s">
        <v>1145</v>
      </c>
      <c r="C17" s="27" t="s">
        <v>1142</v>
      </c>
      <c r="D17" s="25" t="s">
        <v>4156</v>
      </c>
      <c r="E17" s="8">
        <v>2299081.0499999998</v>
      </c>
      <c r="F17" s="12" t="s">
        <v>1146</v>
      </c>
      <c r="G17" s="25" t="s">
        <v>49</v>
      </c>
      <c r="H17" s="28">
        <v>43320</v>
      </c>
      <c r="I17" s="18">
        <v>0</v>
      </c>
    </row>
    <row r="18" spans="1:9" s="7" customFormat="1" ht="38.25" x14ac:dyDescent="0.2">
      <c r="A18" s="34">
        <v>12</v>
      </c>
      <c r="B18" s="12" t="s">
        <v>1169</v>
      </c>
      <c r="C18" s="101" t="s">
        <v>4221</v>
      </c>
      <c r="D18" s="25" t="s">
        <v>4156</v>
      </c>
      <c r="E18" s="18">
        <v>777499</v>
      </c>
      <c r="F18" s="12" t="s">
        <v>1170</v>
      </c>
      <c r="G18" s="25" t="s">
        <v>347</v>
      </c>
      <c r="H18" s="28">
        <v>43301</v>
      </c>
      <c r="I18" s="18">
        <v>0</v>
      </c>
    </row>
    <row r="19" spans="1:9" ht="38.25" x14ac:dyDescent="0.2">
      <c r="A19" s="34">
        <v>13</v>
      </c>
      <c r="B19" s="12" t="s">
        <v>1171</v>
      </c>
      <c r="C19" s="101" t="s">
        <v>4221</v>
      </c>
      <c r="D19" s="25" t="s">
        <v>4156</v>
      </c>
      <c r="E19" s="18">
        <v>727127.5</v>
      </c>
      <c r="F19" s="12" t="s">
        <v>1172</v>
      </c>
      <c r="G19" s="25" t="s">
        <v>375</v>
      </c>
      <c r="H19" s="28">
        <v>43301</v>
      </c>
      <c r="I19" s="18">
        <v>0</v>
      </c>
    </row>
    <row r="20" spans="1:9" ht="38.25" x14ac:dyDescent="0.2">
      <c r="A20" s="34">
        <v>14</v>
      </c>
      <c r="B20" s="12" t="s">
        <v>1180</v>
      </c>
      <c r="C20" s="101" t="s">
        <v>4226</v>
      </c>
      <c r="D20" s="25" t="s">
        <v>4156</v>
      </c>
      <c r="E20" s="18">
        <v>583620</v>
      </c>
      <c r="F20" s="12" t="s">
        <v>1181</v>
      </c>
      <c r="G20" s="25" t="s">
        <v>885</v>
      </c>
      <c r="H20" s="28">
        <v>43313</v>
      </c>
      <c r="I20" s="18">
        <v>0</v>
      </c>
    </row>
    <row r="21" spans="1:9" ht="38.25" x14ac:dyDescent="0.2">
      <c r="A21" s="34">
        <v>15</v>
      </c>
      <c r="B21" s="12" t="s">
        <v>1186</v>
      </c>
      <c r="C21" s="101" t="s">
        <v>4227</v>
      </c>
      <c r="D21" s="25" t="s">
        <v>4156</v>
      </c>
      <c r="E21" s="18">
        <v>1587307.15</v>
      </c>
      <c r="F21" s="12" t="s">
        <v>1187</v>
      </c>
      <c r="G21" s="25" t="s">
        <v>49</v>
      </c>
      <c r="H21" s="28">
        <v>43320</v>
      </c>
      <c r="I21" s="18">
        <v>0</v>
      </c>
    </row>
    <row r="22" spans="1:9" ht="38.25" x14ac:dyDescent="0.2">
      <c r="A22" s="34">
        <v>16</v>
      </c>
      <c r="B22" s="12" t="s">
        <v>1257</v>
      </c>
      <c r="C22" s="53" t="s">
        <v>1254</v>
      </c>
      <c r="D22" s="25" t="s">
        <v>4156</v>
      </c>
      <c r="E22" s="18">
        <v>3233410</v>
      </c>
      <c r="F22" s="12" t="s">
        <v>1258</v>
      </c>
      <c r="G22" s="25" t="s">
        <v>1255</v>
      </c>
      <c r="H22" s="28">
        <v>43331</v>
      </c>
      <c r="I22" s="18">
        <v>0</v>
      </c>
    </row>
    <row r="23" spans="1:9" ht="38.25" x14ac:dyDescent="0.2">
      <c r="A23" s="34">
        <v>17</v>
      </c>
      <c r="B23" s="12" t="s">
        <v>1324</v>
      </c>
      <c r="C23" s="101" t="s">
        <v>4228</v>
      </c>
      <c r="D23" s="25" t="s">
        <v>4156</v>
      </c>
      <c r="E23" s="18">
        <v>3335045</v>
      </c>
      <c r="F23" s="12" t="s">
        <v>1325</v>
      </c>
      <c r="G23" s="25" t="s">
        <v>1322</v>
      </c>
      <c r="H23" s="28">
        <v>43341</v>
      </c>
      <c r="I23" s="18">
        <v>0</v>
      </c>
    </row>
    <row r="24" spans="1:9" ht="38.25" x14ac:dyDescent="0.2">
      <c r="A24" s="34">
        <v>18</v>
      </c>
      <c r="B24" s="12" t="s">
        <v>1326</v>
      </c>
      <c r="C24" s="101" t="s">
        <v>4228</v>
      </c>
      <c r="D24" s="25" t="s">
        <v>4156</v>
      </c>
      <c r="E24" s="18">
        <v>976970</v>
      </c>
      <c r="F24" s="12" t="s">
        <v>1327</v>
      </c>
      <c r="G24" s="25" t="s">
        <v>1322</v>
      </c>
      <c r="H24" s="28">
        <v>43341</v>
      </c>
      <c r="I24" s="18">
        <v>0</v>
      </c>
    </row>
    <row r="25" spans="1:9" ht="38.25" x14ac:dyDescent="0.2">
      <c r="A25" s="34">
        <v>19</v>
      </c>
      <c r="B25" s="12" t="s">
        <v>1348</v>
      </c>
      <c r="C25" s="101" t="s">
        <v>4242</v>
      </c>
      <c r="D25" s="25" t="s">
        <v>479</v>
      </c>
      <c r="E25" s="18">
        <v>6373871.5</v>
      </c>
      <c r="F25" s="36" t="s">
        <v>1361</v>
      </c>
      <c r="G25" s="25" t="s">
        <v>78</v>
      </c>
      <c r="H25" s="46">
        <v>43188</v>
      </c>
      <c r="I25" s="18">
        <v>0</v>
      </c>
    </row>
    <row r="26" spans="1:9" ht="38.25" x14ac:dyDescent="0.2">
      <c r="A26" s="34">
        <v>20</v>
      </c>
      <c r="B26" s="12" t="s">
        <v>1349</v>
      </c>
      <c r="C26" s="101" t="s">
        <v>4242</v>
      </c>
      <c r="D26" s="25" t="s">
        <v>479</v>
      </c>
      <c r="E26" s="18">
        <v>2219700</v>
      </c>
      <c r="F26" s="36" t="s">
        <v>1362</v>
      </c>
      <c r="G26" s="25" t="s">
        <v>1135</v>
      </c>
      <c r="H26" s="46">
        <v>43188</v>
      </c>
      <c r="I26" s="18">
        <v>0</v>
      </c>
    </row>
    <row r="27" spans="1:9" ht="38.25" x14ac:dyDescent="0.2">
      <c r="A27" s="34">
        <v>21</v>
      </c>
      <c r="B27" s="12" t="s">
        <v>1350</v>
      </c>
      <c r="C27" s="101" t="s">
        <v>4242</v>
      </c>
      <c r="D27" s="25" t="s">
        <v>479</v>
      </c>
      <c r="E27" s="18">
        <v>4519524</v>
      </c>
      <c r="F27" s="36" t="s">
        <v>1363</v>
      </c>
      <c r="G27" s="25" t="s">
        <v>885</v>
      </c>
      <c r="H27" s="46">
        <v>43188</v>
      </c>
      <c r="I27" s="18">
        <v>0</v>
      </c>
    </row>
    <row r="28" spans="1:9" ht="38.25" x14ac:dyDescent="0.2">
      <c r="A28" s="34">
        <v>22</v>
      </c>
      <c r="B28" s="12" t="s">
        <v>1351</v>
      </c>
      <c r="C28" s="101" t="s">
        <v>4242</v>
      </c>
      <c r="D28" s="25" t="s">
        <v>479</v>
      </c>
      <c r="E28" s="18">
        <v>2838665</v>
      </c>
      <c r="F28" s="36" t="s">
        <v>1364</v>
      </c>
      <c r="G28" s="25" t="s">
        <v>91</v>
      </c>
      <c r="H28" s="46">
        <v>43188</v>
      </c>
      <c r="I28" s="18">
        <v>0</v>
      </c>
    </row>
    <row r="29" spans="1:9" ht="38.25" x14ac:dyDescent="0.2">
      <c r="A29" s="34">
        <v>23</v>
      </c>
      <c r="B29" s="12" t="s">
        <v>1352</v>
      </c>
      <c r="C29" s="101" t="s">
        <v>4242</v>
      </c>
      <c r="D29" s="25" t="s">
        <v>479</v>
      </c>
      <c r="E29" s="18">
        <v>1043987.5</v>
      </c>
      <c r="F29" s="36" t="s">
        <v>1365</v>
      </c>
      <c r="G29" s="25" t="s">
        <v>211</v>
      </c>
      <c r="H29" s="46">
        <v>43188</v>
      </c>
      <c r="I29" s="18">
        <v>0</v>
      </c>
    </row>
    <row r="30" spans="1:9" ht="38.25" x14ac:dyDescent="0.2">
      <c r="A30" s="34">
        <v>24</v>
      </c>
      <c r="B30" s="12" t="s">
        <v>1353</v>
      </c>
      <c r="C30" s="101" t="s">
        <v>4242</v>
      </c>
      <c r="D30" s="25" t="s">
        <v>479</v>
      </c>
      <c r="E30" s="18">
        <v>708750</v>
      </c>
      <c r="F30" s="36" t="s">
        <v>1366</v>
      </c>
      <c r="G30" s="25" t="s">
        <v>761</v>
      </c>
      <c r="H30" s="46">
        <v>43188</v>
      </c>
      <c r="I30" s="18">
        <v>0</v>
      </c>
    </row>
    <row r="31" spans="1:9" ht="38.25" x14ac:dyDescent="0.2">
      <c r="A31" s="34">
        <v>25</v>
      </c>
      <c r="B31" s="12" t="s">
        <v>1354</v>
      </c>
      <c r="C31" s="101" t="s">
        <v>4242</v>
      </c>
      <c r="D31" s="25" t="s">
        <v>479</v>
      </c>
      <c r="E31" s="18">
        <f>1110527.5+2570715</f>
        <v>3681242.5</v>
      </c>
      <c r="F31" s="36" t="s">
        <v>1367</v>
      </c>
      <c r="G31" s="25" t="s">
        <v>83</v>
      </c>
      <c r="H31" s="46">
        <v>43188</v>
      </c>
      <c r="I31" s="18">
        <v>0</v>
      </c>
    </row>
    <row r="32" spans="1:9" ht="38.25" x14ac:dyDescent="0.2">
      <c r="A32" s="34">
        <v>26</v>
      </c>
      <c r="B32" s="43" t="s">
        <v>1355</v>
      </c>
      <c r="C32" s="101" t="s">
        <v>4242</v>
      </c>
      <c r="D32" s="25" t="s">
        <v>479</v>
      </c>
      <c r="E32" s="48">
        <v>1564290</v>
      </c>
      <c r="F32" s="36" t="s">
        <v>1368</v>
      </c>
      <c r="G32" s="44" t="s">
        <v>1273</v>
      </c>
      <c r="H32" s="46">
        <v>43188</v>
      </c>
      <c r="I32" s="18">
        <v>0</v>
      </c>
    </row>
    <row r="33" spans="1:9" ht="38.25" x14ac:dyDescent="0.2">
      <c r="A33" s="34">
        <v>27</v>
      </c>
      <c r="B33" s="12" t="s">
        <v>1356</v>
      </c>
      <c r="C33" s="101" t="s">
        <v>4242</v>
      </c>
      <c r="D33" s="25" t="s">
        <v>479</v>
      </c>
      <c r="E33" s="18">
        <f>868533.75+336553.04</f>
        <v>1205086.79</v>
      </c>
      <c r="F33" s="36" t="s">
        <v>1369</v>
      </c>
      <c r="G33" s="25" t="s">
        <v>480</v>
      </c>
      <c r="H33" s="46">
        <v>43188</v>
      </c>
      <c r="I33" s="18">
        <v>0</v>
      </c>
    </row>
    <row r="34" spans="1:9" ht="38.25" x14ac:dyDescent="0.2">
      <c r="A34" s="34">
        <v>28</v>
      </c>
      <c r="B34" s="49" t="s">
        <v>1357</v>
      </c>
      <c r="C34" s="101" t="s">
        <v>4242</v>
      </c>
      <c r="D34" s="25" t="s">
        <v>479</v>
      </c>
      <c r="E34" s="50">
        <v>119150</v>
      </c>
      <c r="F34" s="36" t="s">
        <v>1370</v>
      </c>
      <c r="G34" s="47" t="s">
        <v>947</v>
      </c>
      <c r="H34" s="46">
        <v>43188</v>
      </c>
      <c r="I34" s="18">
        <v>0</v>
      </c>
    </row>
    <row r="35" spans="1:9" ht="38.25" x14ac:dyDescent="0.2">
      <c r="A35" s="34">
        <v>29</v>
      </c>
      <c r="B35" s="43" t="s">
        <v>1358</v>
      </c>
      <c r="C35" s="101" t="s">
        <v>4242</v>
      </c>
      <c r="D35" s="25" t="s">
        <v>479</v>
      </c>
      <c r="E35" s="48">
        <v>429036</v>
      </c>
      <c r="F35" s="36" t="s">
        <v>1371</v>
      </c>
      <c r="G35" s="44" t="s">
        <v>904</v>
      </c>
      <c r="H35" s="46">
        <v>43188</v>
      </c>
      <c r="I35" s="18">
        <v>0</v>
      </c>
    </row>
    <row r="36" spans="1:9" ht="38.25" x14ac:dyDescent="0.2">
      <c r="A36" s="34">
        <v>30</v>
      </c>
      <c r="B36" s="43" t="s">
        <v>1359</v>
      </c>
      <c r="C36" s="101" t="s">
        <v>4242</v>
      </c>
      <c r="D36" s="25" t="s">
        <v>479</v>
      </c>
      <c r="E36" s="18">
        <v>436462.5</v>
      </c>
      <c r="F36" s="36" t="s">
        <v>1372</v>
      </c>
      <c r="G36" s="25" t="s">
        <v>1280</v>
      </c>
      <c r="H36" s="46">
        <v>43188</v>
      </c>
      <c r="I36" s="18">
        <v>0</v>
      </c>
    </row>
    <row r="37" spans="1:9" ht="38.25" x14ac:dyDescent="0.2">
      <c r="A37" s="34">
        <v>31</v>
      </c>
      <c r="B37" s="43" t="s">
        <v>1360</v>
      </c>
      <c r="C37" s="101" t="s">
        <v>4242</v>
      </c>
      <c r="D37" s="25" t="s">
        <v>479</v>
      </c>
      <c r="E37" s="52">
        <v>1344</v>
      </c>
      <c r="F37" s="36" t="s">
        <v>1373</v>
      </c>
      <c r="G37" s="51" t="s">
        <v>1311</v>
      </c>
      <c r="H37" s="46">
        <v>43188</v>
      </c>
      <c r="I37" s="18">
        <v>0</v>
      </c>
    </row>
    <row r="38" spans="1:9" ht="38.25" x14ac:dyDescent="0.2">
      <c r="A38" s="34">
        <v>32</v>
      </c>
      <c r="B38" s="12" t="s">
        <v>1491</v>
      </c>
      <c r="C38" s="101" t="s">
        <v>4228</v>
      </c>
      <c r="D38" s="25" t="s">
        <v>479</v>
      </c>
      <c r="E38" s="8">
        <v>278485</v>
      </c>
      <c r="F38" s="12" t="s">
        <v>1490</v>
      </c>
      <c r="G38" s="25" t="s">
        <v>425</v>
      </c>
      <c r="H38" s="28" t="s">
        <v>1471</v>
      </c>
      <c r="I38" s="18">
        <v>0</v>
      </c>
    </row>
    <row r="39" spans="1:9" ht="38.25" x14ac:dyDescent="0.2">
      <c r="A39" s="34">
        <v>33</v>
      </c>
      <c r="B39" s="12" t="s">
        <v>1814</v>
      </c>
      <c r="C39" s="101" t="s">
        <v>4229</v>
      </c>
      <c r="D39" s="25" t="s">
        <v>479</v>
      </c>
      <c r="E39" s="18">
        <v>803882.1</v>
      </c>
      <c r="F39" s="12" t="s">
        <v>1816</v>
      </c>
      <c r="G39" s="25" t="s">
        <v>45</v>
      </c>
      <c r="H39" s="25" t="s">
        <v>1817</v>
      </c>
      <c r="I39" s="18">
        <v>0</v>
      </c>
    </row>
    <row r="40" spans="1:9" ht="38.25" x14ac:dyDescent="0.2">
      <c r="A40" s="34">
        <v>34</v>
      </c>
      <c r="B40" s="12" t="s">
        <v>1820</v>
      </c>
      <c r="C40" s="101" t="s">
        <v>4229</v>
      </c>
      <c r="D40" s="25" t="s">
        <v>479</v>
      </c>
      <c r="E40" s="18">
        <v>535092.39</v>
      </c>
      <c r="F40" s="12" t="s">
        <v>1821</v>
      </c>
      <c r="G40" s="25" t="s">
        <v>218</v>
      </c>
      <c r="H40" s="25" t="s">
        <v>1817</v>
      </c>
      <c r="I40" s="18">
        <v>0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zoomScale="90" zoomScaleNormal="90" workbookViewId="0">
      <pane ySplit="6" topLeftCell="A81" activePane="bottomLeft" state="frozen"/>
      <selection pane="bottomLeft" activeCell="A7" sqref="A7:A87"/>
    </sheetView>
  </sheetViews>
  <sheetFormatPr defaultRowHeight="12.75" x14ac:dyDescent="0.2"/>
  <cols>
    <col min="1" max="1" width="6.85546875" customWidth="1"/>
    <col min="2" max="2" width="44.5703125" customWidth="1"/>
    <col min="3" max="3" width="14.28515625" customWidth="1"/>
    <col min="4" max="4" width="13.85546875" customWidth="1"/>
    <col min="5" max="5" width="22" style="3" customWidth="1"/>
    <col min="6" max="6" width="28.85546875" customWidth="1"/>
    <col min="7" max="7" width="17.85546875" customWidth="1"/>
    <col min="8" max="8" width="16" customWidth="1"/>
    <col min="9" max="9" width="13.140625" customWidth="1"/>
    <col min="10" max="10" width="24" style="19" customWidth="1"/>
    <col min="11" max="11" width="19.42578125" customWidth="1"/>
    <col min="12" max="12" width="17" customWidth="1"/>
  </cols>
  <sheetData>
    <row r="1" spans="1:12" x14ac:dyDescent="0.2">
      <c r="A1" s="213" t="s">
        <v>6</v>
      </c>
      <c r="B1" s="213"/>
      <c r="C1" s="213"/>
      <c r="D1" s="20"/>
      <c r="E1" s="9"/>
      <c r="G1" s="4"/>
    </row>
    <row r="2" spans="1:12" x14ac:dyDescent="0.2">
      <c r="A2" s="213" t="s">
        <v>1283</v>
      </c>
      <c r="B2" s="213"/>
      <c r="C2" s="213"/>
      <c r="D2" s="20"/>
      <c r="E2" s="9"/>
      <c r="F2" s="19"/>
      <c r="G2" s="4"/>
    </row>
    <row r="3" spans="1:12" x14ac:dyDescent="0.2">
      <c r="A3" s="10"/>
      <c r="B3" s="10"/>
      <c r="C3" s="10"/>
      <c r="D3" s="10"/>
      <c r="E3" s="11"/>
      <c r="F3" s="19"/>
    </row>
    <row r="4" spans="1:12" x14ac:dyDescent="0.2">
      <c r="A4" s="213" t="s">
        <v>15</v>
      </c>
      <c r="B4" s="213"/>
      <c r="C4" s="213"/>
      <c r="D4" s="213"/>
      <c r="E4" s="213"/>
      <c r="F4" s="3"/>
      <c r="G4" s="4"/>
      <c r="H4" s="5"/>
      <c r="I4" s="3"/>
    </row>
    <row r="6" spans="1:12" ht="70.5" customHeight="1" x14ac:dyDescent="0.2">
      <c r="A6" s="17" t="s">
        <v>4</v>
      </c>
      <c r="B6" s="17" t="s">
        <v>7</v>
      </c>
      <c r="C6" s="17" t="s">
        <v>2</v>
      </c>
      <c r="D6" s="17" t="s">
        <v>8</v>
      </c>
      <c r="E6" s="17" t="s">
        <v>9</v>
      </c>
      <c r="F6" s="17" t="s">
        <v>10</v>
      </c>
      <c r="G6" s="17" t="s">
        <v>11</v>
      </c>
      <c r="H6" s="17" t="s">
        <v>12</v>
      </c>
      <c r="I6" s="17" t="s">
        <v>13</v>
      </c>
      <c r="J6" s="21" t="s">
        <v>14</v>
      </c>
    </row>
    <row r="7" spans="1:12" s="6" customFormat="1" ht="38.25" x14ac:dyDescent="0.2">
      <c r="A7" s="145">
        <v>1</v>
      </c>
      <c r="B7" s="104" t="s">
        <v>39</v>
      </c>
      <c r="C7" s="104" t="s">
        <v>40</v>
      </c>
      <c r="D7" s="42"/>
      <c r="E7" s="22" t="s">
        <v>3</v>
      </c>
      <c r="F7" s="104" t="s">
        <v>41</v>
      </c>
      <c r="G7" s="114">
        <f>69300+433356+1606.5+61687.5</f>
        <v>565950</v>
      </c>
      <c r="H7" s="104" t="s">
        <v>42</v>
      </c>
      <c r="I7" s="146">
        <v>42570</v>
      </c>
      <c r="J7" s="114">
        <v>11358.9</v>
      </c>
      <c r="K7" s="147"/>
      <c r="L7" s="148"/>
    </row>
    <row r="8" spans="1:12" s="6" customFormat="1" ht="38.25" x14ac:dyDescent="0.2">
      <c r="A8" s="145">
        <v>2</v>
      </c>
      <c r="B8" s="104" t="s">
        <v>43</v>
      </c>
      <c r="C8" s="104" t="s">
        <v>44</v>
      </c>
      <c r="D8" s="42"/>
      <c r="E8" s="104" t="s">
        <v>0</v>
      </c>
      <c r="F8" s="104" t="s">
        <v>45</v>
      </c>
      <c r="G8" s="114">
        <v>12494996.43</v>
      </c>
      <c r="H8" s="104" t="s">
        <v>46</v>
      </c>
      <c r="I8" s="146">
        <v>42754</v>
      </c>
      <c r="J8" s="114">
        <v>0</v>
      </c>
    </row>
    <row r="9" spans="1:12" s="6" customFormat="1" ht="38.25" x14ac:dyDescent="0.2">
      <c r="A9" s="145">
        <v>3</v>
      </c>
      <c r="B9" s="104" t="s">
        <v>47</v>
      </c>
      <c r="C9" s="104" t="s">
        <v>48</v>
      </c>
      <c r="D9" s="42"/>
      <c r="E9" s="22" t="s">
        <v>3</v>
      </c>
      <c r="F9" s="104" t="s">
        <v>49</v>
      </c>
      <c r="G9" s="114">
        <v>1504909.35</v>
      </c>
      <c r="H9" s="104" t="s">
        <v>50</v>
      </c>
      <c r="I9" s="146">
        <v>42570</v>
      </c>
      <c r="J9" s="114">
        <v>53830.35</v>
      </c>
    </row>
    <row r="10" spans="1:12" s="6" customFormat="1" ht="38.25" x14ac:dyDescent="0.2">
      <c r="A10" s="145">
        <v>4</v>
      </c>
      <c r="B10" s="104" t="s">
        <v>51</v>
      </c>
      <c r="C10" s="104" t="s">
        <v>52</v>
      </c>
      <c r="D10" s="42"/>
      <c r="E10" s="22" t="s">
        <v>3</v>
      </c>
      <c r="F10" s="104" t="s">
        <v>53</v>
      </c>
      <c r="G10" s="114">
        <v>53025</v>
      </c>
      <c r="H10" s="104" t="s">
        <v>54</v>
      </c>
      <c r="I10" s="146">
        <v>42573</v>
      </c>
      <c r="J10" s="114">
        <v>7423.5</v>
      </c>
    </row>
    <row r="11" spans="1:12" s="6" customFormat="1" ht="38.25" x14ac:dyDescent="0.2">
      <c r="A11" s="145">
        <v>5</v>
      </c>
      <c r="B11" s="104" t="s">
        <v>55</v>
      </c>
      <c r="C11" s="104" t="s">
        <v>40</v>
      </c>
      <c r="D11" s="42"/>
      <c r="E11" s="22" t="s">
        <v>3</v>
      </c>
      <c r="F11" s="104" t="s">
        <v>45</v>
      </c>
      <c r="G11" s="114">
        <v>4961.25</v>
      </c>
      <c r="H11" s="104" t="s">
        <v>56</v>
      </c>
      <c r="I11" s="146">
        <v>42570</v>
      </c>
      <c r="J11" s="114">
        <v>850.5</v>
      </c>
    </row>
    <row r="12" spans="1:12" s="6" customFormat="1" ht="38.25" x14ac:dyDescent="0.2">
      <c r="A12" s="145">
        <v>6</v>
      </c>
      <c r="B12" s="104" t="s">
        <v>57</v>
      </c>
      <c r="C12" s="104" t="s">
        <v>40</v>
      </c>
      <c r="D12" s="42"/>
      <c r="E12" s="22" t="s">
        <v>3</v>
      </c>
      <c r="F12" s="104" t="s">
        <v>49</v>
      </c>
      <c r="G12" s="114">
        <f>2220.75+867.51</f>
        <v>3088.26</v>
      </c>
      <c r="H12" s="104" t="s">
        <v>58</v>
      </c>
      <c r="I12" s="146">
        <v>42570</v>
      </c>
      <c r="J12" s="114">
        <v>0</v>
      </c>
    </row>
    <row r="13" spans="1:12" s="6" customFormat="1" ht="38.25" x14ac:dyDescent="0.2">
      <c r="A13" s="145">
        <v>7</v>
      </c>
      <c r="B13" s="104" t="s">
        <v>68</v>
      </c>
      <c r="C13" s="104" t="s">
        <v>52</v>
      </c>
      <c r="D13" s="42"/>
      <c r="E13" s="22" t="s">
        <v>3</v>
      </c>
      <c r="F13" s="104" t="s">
        <v>49</v>
      </c>
      <c r="G13" s="114">
        <f>7441.88+141540+2484.3+32812.5+2338.88+4912.69</f>
        <v>191530.25</v>
      </c>
      <c r="H13" s="104" t="s">
        <v>69</v>
      </c>
      <c r="I13" s="146">
        <v>42573</v>
      </c>
      <c r="J13" s="114">
        <v>11306.82</v>
      </c>
    </row>
    <row r="14" spans="1:12" s="6" customFormat="1" ht="38.25" x14ac:dyDescent="0.2">
      <c r="A14" s="145">
        <v>8</v>
      </c>
      <c r="B14" s="104" t="s">
        <v>71</v>
      </c>
      <c r="C14" s="104" t="s">
        <v>52</v>
      </c>
      <c r="D14" s="42"/>
      <c r="E14" s="22" t="s">
        <v>3</v>
      </c>
      <c r="F14" s="104" t="s">
        <v>45</v>
      </c>
      <c r="G14" s="114">
        <f>51946.13+272914.69+40918.5+13955.03+72843.75+1338.75</f>
        <v>453916.85000000003</v>
      </c>
      <c r="H14" s="104" t="s">
        <v>70</v>
      </c>
      <c r="I14" s="146">
        <v>42573</v>
      </c>
      <c r="J14" s="114">
        <v>26938.28</v>
      </c>
    </row>
    <row r="15" spans="1:12" s="6" customFormat="1" ht="38.25" x14ac:dyDescent="0.2">
      <c r="A15" s="145">
        <v>9</v>
      </c>
      <c r="B15" s="104" t="s">
        <v>102</v>
      </c>
      <c r="C15" s="104" t="s">
        <v>103</v>
      </c>
      <c r="D15" s="42"/>
      <c r="E15" s="22" t="s">
        <v>3</v>
      </c>
      <c r="F15" s="104" t="s">
        <v>41</v>
      </c>
      <c r="G15" s="114">
        <v>406749.32</v>
      </c>
      <c r="H15" s="104" t="s">
        <v>104</v>
      </c>
      <c r="I15" s="146">
        <v>42578</v>
      </c>
      <c r="J15" s="114">
        <v>54132.24</v>
      </c>
    </row>
    <row r="16" spans="1:12" s="6" customFormat="1" ht="38.25" x14ac:dyDescent="0.2">
      <c r="A16" s="145">
        <v>10</v>
      </c>
      <c r="B16" s="104" t="s">
        <v>105</v>
      </c>
      <c r="C16" s="104" t="s">
        <v>106</v>
      </c>
      <c r="D16" s="42"/>
      <c r="E16" s="22" t="s">
        <v>3</v>
      </c>
      <c r="F16" s="104" t="s">
        <v>107</v>
      </c>
      <c r="G16" s="114">
        <v>1316.7</v>
      </c>
      <c r="H16" s="104" t="s">
        <v>108</v>
      </c>
      <c r="I16" s="146">
        <v>42576</v>
      </c>
      <c r="J16" s="114">
        <v>0</v>
      </c>
    </row>
    <row r="17" spans="1:12" s="6" customFormat="1" ht="38.25" x14ac:dyDescent="0.2">
      <c r="A17" s="145">
        <v>11</v>
      </c>
      <c r="B17" s="104" t="s">
        <v>109</v>
      </c>
      <c r="C17" s="104" t="s">
        <v>106</v>
      </c>
      <c r="D17" s="42"/>
      <c r="E17" s="22" t="s">
        <v>3</v>
      </c>
      <c r="F17" s="104" t="s">
        <v>41</v>
      </c>
      <c r="G17" s="114">
        <f>56.7+485.1+137.45+564.38+464.68+275.63</f>
        <v>1983.94</v>
      </c>
      <c r="H17" s="104" t="s">
        <v>110</v>
      </c>
      <c r="I17" s="146">
        <v>42576</v>
      </c>
      <c r="J17" s="114">
        <v>31.75</v>
      </c>
      <c r="L17" s="149"/>
    </row>
    <row r="18" spans="1:12" s="6" customFormat="1" ht="38.25" x14ac:dyDescent="0.2">
      <c r="A18" s="145">
        <v>12</v>
      </c>
      <c r="B18" s="104" t="s">
        <v>113</v>
      </c>
      <c r="C18" s="104" t="s">
        <v>111</v>
      </c>
      <c r="D18" s="42"/>
      <c r="E18" s="22" t="s">
        <v>3</v>
      </c>
      <c r="F18" s="104" t="s">
        <v>45</v>
      </c>
      <c r="G18" s="114">
        <f>1359.16+807.98+362.79+406.56</f>
        <v>2936.4900000000002</v>
      </c>
      <c r="H18" s="104" t="s">
        <v>112</v>
      </c>
      <c r="I18" s="146">
        <v>42578</v>
      </c>
      <c r="J18" s="114">
        <v>94.08</v>
      </c>
      <c r="L18" s="149"/>
    </row>
    <row r="19" spans="1:12" s="6" customFormat="1" ht="38.25" x14ac:dyDescent="0.2">
      <c r="A19" s="145">
        <v>13</v>
      </c>
      <c r="B19" s="104" t="s">
        <v>114</v>
      </c>
      <c r="C19" s="104" t="s">
        <v>111</v>
      </c>
      <c r="D19" s="42"/>
      <c r="E19" s="22" t="s">
        <v>3</v>
      </c>
      <c r="F19" s="104" t="s">
        <v>41</v>
      </c>
      <c r="G19" s="114">
        <f>1379.7+1277.59+3150+9737.6+8235.05</f>
        <v>23779.94</v>
      </c>
      <c r="H19" s="104" t="s">
        <v>115</v>
      </c>
      <c r="I19" s="146">
        <v>42578</v>
      </c>
      <c r="J19" s="114">
        <v>708.75</v>
      </c>
      <c r="L19" s="149"/>
    </row>
    <row r="20" spans="1:12" s="6" customFormat="1" ht="38.25" x14ac:dyDescent="0.2">
      <c r="A20" s="145">
        <v>14</v>
      </c>
      <c r="B20" s="104" t="s">
        <v>116</v>
      </c>
      <c r="C20" s="104" t="s">
        <v>111</v>
      </c>
      <c r="D20" s="42"/>
      <c r="E20" s="22" t="s">
        <v>3</v>
      </c>
      <c r="F20" s="104" t="s">
        <v>49</v>
      </c>
      <c r="G20" s="114">
        <f>14.07+1346.74+270.27+282.98+960.75+255.15+2457.17+4564.35+765.45+1297.8+1063.13</f>
        <v>13277.86</v>
      </c>
      <c r="H20" s="104" t="s">
        <v>117</v>
      </c>
      <c r="I20" s="146">
        <v>42578</v>
      </c>
      <c r="J20" s="114">
        <v>636.29999999999995</v>
      </c>
      <c r="L20" s="149"/>
    </row>
    <row r="21" spans="1:12" s="6" customFormat="1" ht="38.25" x14ac:dyDescent="0.2">
      <c r="A21" s="145">
        <v>15</v>
      </c>
      <c r="B21" s="104" t="s">
        <v>118</v>
      </c>
      <c r="C21" s="104" t="s">
        <v>119</v>
      </c>
      <c r="D21" s="42"/>
      <c r="E21" s="22" t="s">
        <v>3</v>
      </c>
      <c r="F21" s="104" t="s">
        <v>49</v>
      </c>
      <c r="G21" s="114">
        <f>1338.78+319.2+897.44+408.81+216.09+860.71+11633.11</f>
        <v>15674.140000000001</v>
      </c>
      <c r="H21" s="104" t="s">
        <v>120</v>
      </c>
      <c r="I21" s="146">
        <v>42578</v>
      </c>
      <c r="J21" s="114">
        <v>1046</v>
      </c>
      <c r="L21" s="149"/>
    </row>
    <row r="22" spans="1:12" s="6" customFormat="1" ht="38.25" x14ac:dyDescent="0.2">
      <c r="A22" s="145">
        <v>16</v>
      </c>
      <c r="B22" s="104" t="s">
        <v>121</v>
      </c>
      <c r="C22" s="104" t="s">
        <v>122</v>
      </c>
      <c r="D22" s="42"/>
      <c r="E22" s="22" t="s">
        <v>3</v>
      </c>
      <c r="F22" s="104" t="s">
        <v>45</v>
      </c>
      <c r="G22" s="114">
        <f>790.02+2583.53+8023.58+30195.69+1014.3+1944.85+98.44+1207.5</f>
        <v>45857.91</v>
      </c>
      <c r="H22" s="104" t="s">
        <v>123</v>
      </c>
      <c r="I22" s="146">
        <v>42578</v>
      </c>
      <c r="J22" s="114">
        <v>1812.3</v>
      </c>
      <c r="L22" s="149"/>
    </row>
    <row r="23" spans="1:12" s="6" customFormat="1" ht="38.25" x14ac:dyDescent="0.2">
      <c r="A23" s="145">
        <v>17</v>
      </c>
      <c r="B23" s="104" t="s">
        <v>124</v>
      </c>
      <c r="C23" s="104" t="s">
        <v>122</v>
      </c>
      <c r="D23" s="42"/>
      <c r="E23" s="22" t="s">
        <v>3</v>
      </c>
      <c r="F23" s="104" t="s">
        <v>49</v>
      </c>
      <c r="G23" s="114">
        <f>1681.03+229.15+8804.78+2638.44+2609.31+3204.97+193.2+374.85+554.4+438.48+4144.3+1187.55+126+152.25+467.78+1025.33+394.8+2520+677.25+45.52+4013.1+1071</f>
        <v>36553.49</v>
      </c>
      <c r="H23" s="104" t="s">
        <v>125</v>
      </c>
      <c r="I23" s="146">
        <v>42578</v>
      </c>
      <c r="J23" s="114">
        <v>847.2</v>
      </c>
      <c r="L23" s="149"/>
    </row>
    <row r="24" spans="1:12" s="6" customFormat="1" ht="38.25" x14ac:dyDescent="0.2">
      <c r="A24" s="145">
        <v>18</v>
      </c>
      <c r="B24" s="104" t="s">
        <v>126</v>
      </c>
      <c r="C24" s="104" t="s">
        <v>122</v>
      </c>
      <c r="D24" s="42"/>
      <c r="E24" s="22" t="s">
        <v>3</v>
      </c>
      <c r="F24" s="104" t="s">
        <v>41</v>
      </c>
      <c r="G24" s="114">
        <v>203.96</v>
      </c>
      <c r="H24" s="104" t="s">
        <v>127</v>
      </c>
      <c r="I24" s="146">
        <v>42578</v>
      </c>
      <c r="J24" s="114">
        <v>0</v>
      </c>
    </row>
    <row r="25" spans="1:12" s="6" customFormat="1" ht="38.25" x14ac:dyDescent="0.2">
      <c r="A25" s="145">
        <v>19</v>
      </c>
      <c r="B25" s="104" t="s">
        <v>128</v>
      </c>
      <c r="C25" s="104" t="s">
        <v>52</v>
      </c>
      <c r="D25" s="42"/>
      <c r="E25" s="22" t="s">
        <v>3</v>
      </c>
      <c r="F25" s="104" t="s">
        <v>107</v>
      </c>
      <c r="G25" s="114">
        <f>43470+393.75</f>
        <v>43863.75</v>
      </c>
      <c r="H25" s="104" t="s">
        <v>129</v>
      </c>
      <c r="I25" s="146">
        <v>42573</v>
      </c>
      <c r="J25" s="114">
        <v>1304.0999999999999</v>
      </c>
    </row>
    <row r="26" spans="1:12" s="6" customFormat="1" ht="38.25" x14ac:dyDescent="0.2">
      <c r="A26" s="145">
        <v>20</v>
      </c>
      <c r="B26" s="104" t="s">
        <v>130</v>
      </c>
      <c r="C26" s="104" t="s">
        <v>52</v>
      </c>
      <c r="D26" s="42"/>
      <c r="E26" s="22" t="s">
        <v>3</v>
      </c>
      <c r="F26" s="104" t="s">
        <v>131</v>
      </c>
      <c r="G26" s="114">
        <v>89932.5</v>
      </c>
      <c r="H26" s="104" t="s">
        <v>132</v>
      </c>
      <c r="I26" s="146">
        <v>42573</v>
      </c>
      <c r="J26" s="114">
        <v>0</v>
      </c>
    </row>
    <row r="27" spans="1:12" s="6" customFormat="1" ht="38.25" x14ac:dyDescent="0.2">
      <c r="A27" s="145">
        <v>21</v>
      </c>
      <c r="B27" s="104" t="s">
        <v>143</v>
      </c>
      <c r="C27" s="104" t="s">
        <v>144</v>
      </c>
      <c r="D27" s="42"/>
      <c r="E27" s="22" t="s">
        <v>3</v>
      </c>
      <c r="F27" s="104" t="s">
        <v>146</v>
      </c>
      <c r="G27" s="114">
        <v>1143345</v>
      </c>
      <c r="H27" s="104" t="s">
        <v>145</v>
      </c>
      <c r="I27" s="146">
        <v>42512</v>
      </c>
      <c r="J27" s="114">
        <v>0</v>
      </c>
    </row>
    <row r="28" spans="1:12" s="6" customFormat="1" ht="38.25" x14ac:dyDescent="0.2">
      <c r="A28" s="145">
        <v>22</v>
      </c>
      <c r="B28" s="104" t="s">
        <v>147</v>
      </c>
      <c r="C28" s="104" t="s">
        <v>111</v>
      </c>
      <c r="D28" s="42"/>
      <c r="E28" s="22" t="s">
        <v>3</v>
      </c>
      <c r="F28" s="104" t="s">
        <v>148</v>
      </c>
      <c r="G28" s="114">
        <f>258.3+1092+525.58+69.3</f>
        <v>1945.18</v>
      </c>
      <c r="H28" s="104" t="s">
        <v>149</v>
      </c>
      <c r="I28" s="146">
        <v>42578</v>
      </c>
      <c r="J28" s="114">
        <v>0</v>
      </c>
    </row>
    <row r="29" spans="1:12" s="6" customFormat="1" ht="38.25" x14ac:dyDescent="0.2">
      <c r="A29" s="145">
        <v>23</v>
      </c>
      <c r="B29" s="104" t="s">
        <v>150</v>
      </c>
      <c r="C29" s="104" t="s">
        <v>52</v>
      </c>
      <c r="D29" s="42"/>
      <c r="E29" s="22" t="s">
        <v>3</v>
      </c>
      <c r="F29" s="104" t="s">
        <v>148</v>
      </c>
      <c r="G29" s="114">
        <f>236.25+1317.23</f>
        <v>1553.48</v>
      </c>
      <c r="H29" s="104" t="s">
        <v>151</v>
      </c>
      <c r="I29" s="146">
        <v>42573</v>
      </c>
      <c r="J29" s="114">
        <v>0</v>
      </c>
    </row>
    <row r="30" spans="1:12" s="6" customFormat="1" ht="38.25" x14ac:dyDescent="0.2">
      <c r="A30" s="145">
        <v>24</v>
      </c>
      <c r="B30" s="104" t="s">
        <v>152</v>
      </c>
      <c r="C30" s="104" t="s">
        <v>40</v>
      </c>
      <c r="D30" s="42"/>
      <c r="E30" s="22" t="s">
        <v>3</v>
      </c>
      <c r="F30" s="104" t="s">
        <v>148</v>
      </c>
      <c r="G30" s="114">
        <v>257.25</v>
      </c>
      <c r="H30" s="104" t="s">
        <v>153</v>
      </c>
      <c r="I30" s="146">
        <v>42570</v>
      </c>
      <c r="J30" s="114">
        <v>0</v>
      </c>
    </row>
    <row r="31" spans="1:12" s="6" customFormat="1" ht="38.25" x14ac:dyDescent="0.2">
      <c r="A31" s="145">
        <v>25</v>
      </c>
      <c r="B31" s="104" t="s">
        <v>154</v>
      </c>
      <c r="C31" s="104" t="s">
        <v>155</v>
      </c>
      <c r="D31" s="42"/>
      <c r="E31" s="22" t="s">
        <v>3</v>
      </c>
      <c r="F31" s="104" t="s">
        <v>45</v>
      </c>
      <c r="G31" s="114">
        <v>558882.05000000005</v>
      </c>
      <c r="H31" s="104" t="s">
        <v>156</v>
      </c>
      <c r="I31" s="146">
        <v>42578</v>
      </c>
      <c r="J31" s="114">
        <v>15385.97</v>
      </c>
    </row>
    <row r="32" spans="1:12" s="6" customFormat="1" ht="38.25" x14ac:dyDescent="0.2">
      <c r="A32" s="145">
        <v>26</v>
      </c>
      <c r="B32" s="104" t="s">
        <v>157</v>
      </c>
      <c r="C32" s="104" t="s">
        <v>111</v>
      </c>
      <c r="D32" s="42"/>
      <c r="E32" s="22" t="s">
        <v>3</v>
      </c>
      <c r="F32" s="104" t="s">
        <v>53</v>
      </c>
      <c r="G32" s="114">
        <v>153685.76999999999</v>
      </c>
      <c r="H32" s="104" t="s">
        <v>158</v>
      </c>
      <c r="I32" s="146">
        <v>42578</v>
      </c>
      <c r="J32" s="114">
        <v>0</v>
      </c>
    </row>
    <row r="33" spans="1:10" s="6" customFormat="1" ht="38.25" x14ac:dyDescent="0.2">
      <c r="A33" s="145">
        <v>27</v>
      </c>
      <c r="B33" s="104" t="s">
        <v>159</v>
      </c>
      <c r="C33" s="104" t="s">
        <v>119</v>
      </c>
      <c r="D33" s="42"/>
      <c r="E33" s="22" t="s">
        <v>3</v>
      </c>
      <c r="F33" s="104" t="s">
        <v>45</v>
      </c>
      <c r="G33" s="114">
        <f>214.04+519.17+474.81+1528.28+7224</f>
        <v>9960.2999999999993</v>
      </c>
      <c r="H33" s="104" t="s">
        <v>160</v>
      </c>
      <c r="I33" s="146">
        <v>42578</v>
      </c>
      <c r="J33" s="114">
        <v>0</v>
      </c>
    </row>
    <row r="34" spans="1:10" s="6" customFormat="1" ht="38.25" x14ac:dyDescent="0.2">
      <c r="A34" s="145">
        <v>28</v>
      </c>
      <c r="B34" s="104" t="s">
        <v>182</v>
      </c>
      <c r="C34" s="104" t="s">
        <v>106</v>
      </c>
      <c r="D34" s="42"/>
      <c r="E34" s="22" t="s">
        <v>3</v>
      </c>
      <c r="F34" s="104" t="s">
        <v>45</v>
      </c>
      <c r="G34" s="114">
        <f>39600+1980</f>
        <v>41580</v>
      </c>
      <c r="H34" s="104" t="s">
        <v>183</v>
      </c>
      <c r="I34" s="146">
        <v>42576</v>
      </c>
      <c r="J34" s="114">
        <v>0</v>
      </c>
    </row>
    <row r="35" spans="1:10" s="6" customFormat="1" ht="38.25" x14ac:dyDescent="0.2">
      <c r="A35" s="145">
        <v>29</v>
      </c>
      <c r="B35" s="104" t="s">
        <v>184</v>
      </c>
      <c r="C35" s="104" t="s">
        <v>106</v>
      </c>
      <c r="D35" s="42"/>
      <c r="E35" s="22" t="s">
        <v>3</v>
      </c>
      <c r="F35" s="104" t="s">
        <v>146</v>
      </c>
      <c r="G35" s="114">
        <f>51398.59+2569.93</f>
        <v>53968.52</v>
      </c>
      <c r="H35" s="104" t="s">
        <v>185</v>
      </c>
      <c r="I35" s="146">
        <v>42576</v>
      </c>
      <c r="J35" s="114">
        <v>0</v>
      </c>
    </row>
    <row r="36" spans="1:10" s="6" customFormat="1" ht="38.25" x14ac:dyDescent="0.2">
      <c r="A36" s="145">
        <v>30</v>
      </c>
      <c r="B36" s="104" t="s">
        <v>186</v>
      </c>
      <c r="C36" s="104" t="s">
        <v>106</v>
      </c>
      <c r="D36" s="42"/>
      <c r="E36" s="22" t="s">
        <v>3</v>
      </c>
      <c r="F36" s="104" t="s">
        <v>148</v>
      </c>
      <c r="G36" s="114">
        <f>1938+96.9</f>
        <v>2034.9</v>
      </c>
      <c r="H36" s="104" t="s">
        <v>187</v>
      </c>
      <c r="I36" s="146">
        <v>42576</v>
      </c>
      <c r="J36" s="114">
        <v>0</v>
      </c>
    </row>
    <row r="37" spans="1:10" s="6" customFormat="1" ht="38.25" x14ac:dyDescent="0.2">
      <c r="A37" s="145">
        <v>31</v>
      </c>
      <c r="B37" s="104" t="s">
        <v>188</v>
      </c>
      <c r="C37" s="104" t="s">
        <v>40</v>
      </c>
      <c r="D37" s="42"/>
      <c r="E37" s="22" t="s">
        <v>3</v>
      </c>
      <c r="F37" s="104" t="s">
        <v>146</v>
      </c>
      <c r="G37" s="114">
        <f>10875.2+543.76</f>
        <v>11418.960000000001</v>
      </c>
      <c r="H37" s="104" t="s">
        <v>189</v>
      </c>
      <c r="I37" s="146">
        <v>42570</v>
      </c>
      <c r="J37" s="114">
        <v>0</v>
      </c>
    </row>
    <row r="38" spans="1:10" s="6" customFormat="1" ht="38.25" x14ac:dyDescent="0.2">
      <c r="A38" s="145">
        <v>32</v>
      </c>
      <c r="B38" s="104" t="s">
        <v>190</v>
      </c>
      <c r="C38" s="104" t="s">
        <v>119</v>
      </c>
      <c r="D38" s="42"/>
      <c r="E38" s="22" t="s">
        <v>3</v>
      </c>
      <c r="F38" s="104" t="s">
        <v>146</v>
      </c>
      <c r="G38" s="114">
        <f>8021.27+401.06</f>
        <v>8422.33</v>
      </c>
      <c r="H38" s="104" t="s">
        <v>191</v>
      </c>
      <c r="I38" s="146">
        <v>42578</v>
      </c>
      <c r="J38" s="114">
        <v>0</v>
      </c>
    </row>
    <row r="39" spans="1:10" s="6" customFormat="1" ht="38.25" x14ac:dyDescent="0.2">
      <c r="A39" s="145">
        <v>33</v>
      </c>
      <c r="B39" s="104" t="s">
        <v>192</v>
      </c>
      <c r="C39" s="104" t="s">
        <v>122</v>
      </c>
      <c r="D39" s="42"/>
      <c r="E39" s="22" t="s">
        <v>3</v>
      </c>
      <c r="F39" s="104" t="s">
        <v>146</v>
      </c>
      <c r="G39" s="114">
        <f>14952.78+747.64</f>
        <v>15700.42</v>
      </c>
      <c r="H39" s="104" t="s">
        <v>193</v>
      </c>
      <c r="I39" s="146">
        <v>42578</v>
      </c>
      <c r="J39" s="114">
        <v>0</v>
      </c>
    </row>
    <row r="40" spans="1:10" s="6" customFormat="1" ht="38.25" x14ac:dyDescent="0.2">
      <c r="A40" s="145">
        <v>34</v>
      </c>
      <c r="B40" s="104" t="s">
        <v>194</v>
      </c>
      <c r="C40" s="104" t="s">
        <v>111</v>
      </c>
      <c r="D40" s="42"/>
      <c r="E40" s="22" t="s">
        <v>3</v>
      </c>
      <c r="F40" s="104" t="s">
        <v>146</v>
      </c>
      <c r="G40" s="114">
        <f>7994.5+399.73</f>
        <v>8394.23</v>
      </c>
      <c r="H40" s="104" t="s">
        <v>195</v>
      </c>
      <c r="I40" s="146">
        <v>42578</v>
      </c>
      <c r="J40" s="114">
        <v>0</v>
      </c>
    </row>
    <row r="41" spans="1:10" s="6" customFormat="1" ht="38.25" x14ac:dyDescent="0.2">
      <c r="A41" s="145">
        <v>35</v>
      </c>
      <c r="B41" s="104" t="s">
        <v>196</v>
      </c>
      <c r="C41" s="104" t="s">
        <v>52</v>
      </c>
      <c r="D41" s="42"/>
      <c r="E41" s="22" t="s">
        <v>3</v>
      </c>
      <c r="F41" s="104" t="s">
        <v>146</v>
      </c>
      <c r="G41" s="114">
        <f>596405.31+29820.27</f>
        <v>626225.58000000007</v>
      </c>
      <c r="H41" s="104" t="s">
        <v>197</v>
      </c>
      <c r="I41" s="146">
        <v>42573</v>
      </c>
      <c r="J41" s="114">
        <v>0</v>
      </c>
    </row>
    <row r="42" spans="1:10" s="39" customFormat="1" ht="38.25" x14ac:dyDescent="0.2">
      <c r="A42" s="145">
        <v>36</v>
      </c>
      <c r="B42" s="42" t="s">
        <v>198</v>
      </c>
      <c r="C42" s="42" t="s">
        <v>106</v>
      </c>
      <c r="D42" s="42"/>
      <c r="E42" s="150" t="s">
        <v>3</v>
      </c>
      <c r="F42" s="42" t="s">
        <v>49</v>
      </c>
      <c r="G42" s="119">
        <v>87305.02</v>
      </c>
      <c r="H42" s="151" t="s">
        <v>439</v>
      </c>
      <c r="I42" s="151">
        <v>42576</v>
      </c>
      <c r="J42" s="119">
        <v>0</v>
      </c>
    </row>
    <row r="43" spans="1:10" s="39" customFormat="1" ht="38.25" x14ac:dyDescent="0.2">
      <c r="A43" s="145">
        <v>37</v>
      </c>
      <c r="B43" s="42" t="s">
        <v>199</v>
      </c>
      <c r="C43" s="42" t="s">
        <v>203</v>
      </c>
      <c r="D43" s="42"/>
      <c r="E43" s="150" t="s">
        <v>3</v>
      </c>
      <c r="F43" s="42" t="s">
        <v>146</v>
      </c>
      <c r="G43" s="119">
        <v>5126473.71</v>
      </c>
      <c r="H43" s="42" t="s">
        <v>438</v>
      </c>
      <c r="I43" s="151">
        <v>42583</v>
      </c>
      <c r="J43" s="119">
        <v>0</v>
      </c>
    </row>
    <row r="44" spans="1:10" s="39" customFormat="1" ht="38.25" x14ac:dyDescent="0.2">
      <c r="A44" s="145">
        <v>38</v>
      </c>
      <c r="B44" s="42" t="s">
        <v>201</v>
      </c>
      <c r="C44" s="42" t="s">
        <v>202</v>
      </c>
      <c r="D44" s="42"/>
      <c r="E44" s="150" t="s">
        <v>3</v>
      </c>
      <c r="F44" s="42" t="s">
        <v>41</v>
      </c>
      <c r="G44" s="119">
        <v>1785095.41</v>
      </c>
      <c r="H44" s="42" t="s">
        <v>200</v>
      </c>
      <c r="I44" s="151">
        <v>42583</v>
      </c>
      <c r="J44" s="119">
        <v>0</v>
      </c>
    </row>
    <row r="45" spans="1:10" s="6" customFormat="1" ht="38.25" x14ac:dyDescent="0.2">
      <c r="A45" s="145">
        <v>39</v>
      </c>
      <c r="B45" s="104" t="s">
        <v>280</v>
      </c>
      <c r="C45" s="111" t="s">
        <v>281</v>
      </c>
      <c r="D45" s="42"/>
      <c r="E45" s="104" t="s">
        <v>0</v>
      </c>
      <c r="F45" s="104" t="s">
        <v>41</v>
      </c>
      <c r="G45" s="114">
        <v>4971626.4400000004</v>
      </c>
      <c r="H45" s="104" t="s">
        <v>304</v>
      </c>
      <c r="I45" s="146">
        <v>42605</v>
      </c>
      <c r="J45" s="114">
        <v>0</v>
      </c>
    </row>
    <row r="46" spans="1:10" s="6" customFormat="1" ht="38.25" x14ac:dyDescent="0.2">
      <c r="A46" s="145">
        <v>40</v>
      </c>
      <c r="B46" s="104" t="s">
        <v>280</v>
      </c>
      <c r="C46" s="104" t="s">
        <v>281</v>
      </c>
      <c r="D46" s="42"/>
      <c r="E46" s="104" t="s">
        <v>0</v>
      </c>
      <c r="F46" s="104" t="s">
        <v>49</v>
      </c>
      <c r="G46" s="114">
        <v>4971626.4400000004</v>
      </c>
      <c r="H46" s="104" t="s">
        <v>282</v>
      </c>
      <c r="I46" s="146">
        <v>42605</v>
      </c>
      <c r="J46" s="114">
        <v>0</v>
      </c>
    </row>
    <row r="47" spans="1:10" s="6" customFormat="1" ht="38.25" x14ac:dyDescent="0.2">
      <c r="A47" s="145">
        <v>41</v>
      </c>
      <c r="B47" s="104" t="s">
        <v>283</v>
      </c>
      <c r="C47" s="104" t="s">
        <v>284</v>
      </c>
      <c r="D47" s="42"/>
      <c r="E47" s="22" t="s">
        <v>3</v>
      </c>
      <c r="F47" s="104" t="s">
        <v>49</v>
      </c>
      <c r="G47" s="114">
        <v>12846127.77</v>
      </c>
      <c r="H47" s="104" t="s">
        <v>285</v>
      </c>
      <c r="I47" s="146">
        <v>42604</v>
      </c>
      <c r="J47" s="114">
        <v>0</v>
      </c>
    </row>
    <row r="48" spans="1:10" s="6" customFormat="1" ht="38.25" x14ac:dyDescent="0.2">
      <c r="A48" s="145">
        <v>42</v>
      </c>
      <c r="B48" s="104" t="s">
        <v>280</v>
      </c>
      <c r="C48" s="104" t="s">
        <v>281</v>
      </c>
      <c r="D48" s="42"/>
      <c r="E48" s="104" t="s">
        <v>0</v>
      </c>
      <c r="F48" s="104" t="s">
        <v>45</v>
      </c>
      <c r="G48" s="114">
        <v>4971626.4400000004</v>
      </c>
      <c r="H48" s="104" t="s">
        <v>303</v>
      </c>
      <c r="I48" s="146">
        <v>42605</v>
      </c>
      <c r="J48" s="114">
        <v>0</v>
      </c>
    </row>
    <row r="49" spans="1:10" s="6" customFormat="1" ht="38.25" x14ac:dyDescent="0.2">
      <c r="A49" s="145">
        <v>43</v>
      </c>
      <c r="B49" s="104" t="s">
        <v>305</v>
      </c>
      <c r="C49" s="104" t="s">
        <v>306</v>
      </c>
      <c r="D49" s="42"/>
      <c r="E49" s="22" t="s">
        <v>3</v>
      </c>
      <c r="F49" s="104" t="s">
        <v>307</v>
      </c>
      <c r="G49" s="114">
        <v>355740</v>
      </c>
      <c r="H49" s="104" t="s">
        <v>308</v>
      </c>
      <c r="I49" s="146">
        <v>42604</v>
      </c>
      <c r="J49" s="114">
        <v>0</v>
      </c>
    </row>
    <row r="50" spans="1:10" s="6" customFormat="1" ht="38.25" x14ac:dyDescent="0.2">
      <c r="A50" s="145">
        <v>44</v>
      </c>
      <c r="B50" s="104" t="s">
        <v>280</v>
      </c>
      <c r="C50" s="104" t="s">
        <v>281</v>
      </c>
      <c r="D50" s="42"/>
      <c r="E50" s="104" t="s">
        <v>0</v>
      </c>
      <c r="F50" s="104" t="s">
        <v>146</v>
      </c>
      <c r="G50" s="114">
        <v>4971626.4400000004</v>
      </c>
      <c r="H50" s="104" t="s">
        <v>304</v>
      </c>
      <c r="I50" s="146">
        <v>42605</v>
      </c>
      <c r="J50" s="114">
        <v>0</v>
      </c>
    </row>
    <row r="51" spans="1:10" s="6" customFormat="1" ht="38.25" x14ac:dyDescent="0.2">
      <c r="A51" s="145">
        <v>45</v>
      </c>
      <c r="B51" s="40" t="s">
        <v>322</v>
      </c>
      <c r="C51" s="40" t="s">
        <v>323</v>
      </c>
      <c r="D51" s="40"/>
      <c r="E51" s="104" t="s">
        <v>0</v>
      </c>
      <c r="F51" s="40" t="s">
        <v>307</v>
      </c>
      <c r="G51" s="114">
        <v>16117333.32</v>
      </c>
      <c r="H51" s="104" t="s">
        <v>324</v>
      </c>
      <c r="I51" s="115">
        <v>42580</v>
      </c>
      <c r="J51" s="114">
        <v>0</v>
      </c>
    </row>
    <row r="52" spans="1:10" s="6" customFormat="1" ht="38.25" x14ac:dyDescent="0.2">
      <c r="A52" s="145">
        <v>46</v>
      </c>
      <c r="B52" s="40" t="s">
        <v>436</v>
      </c>
      <c r="C52" s="40" t="s">
        <v>437</v>
      </c>
      <c r="D52" s="40"/>
      <c r="E52" s="22" t="s">
        <v>3</v>
      </c>
      <c r="F52" s="40" t="s">
        <v>45</v>
      </c>
      <c r="G52" s="114">
        <v>2065516.08</v>
      </c>
      <c r="H52" s="104" t="s">
        <v>440</v>
      </c>
      <c r="I52" s="115">
        <v>42620</v>
      </c>
      <c r="J52" s="114">
        <v>0</v>
      </c>
    </row>
    <row r="53" spans="1:10" s="6" customFormat="1" ht="38.25" x14ac:dyDescent="0.2">
      <c r="A53" s="145">
        <v>47</v>
      </c>
      <c r="B53" s="104" t="s">
        <v>463</v>
      </c>
      <c r="C53" s="40" t="s">
        <v>464</v>
      </c>
      <c r="D53" s="40"/>
      <c r="E53" s="22" t="s">
        <v>3</v>
      </c>
      <c r="F53" s="40" t="s">
        <v>148</v>
      </c>
      <c r="G53" s="114">
        <v>270990</v>
      </c>
      <c r="H53" s="29" t="s">
        <v>465</v>
      </c>
      <c r="I53" s="115">
        <v>42628</v>
      </c>
      <c r="J53" s="114">
        <v>0</v>
      </c>
    </row>
    <row r="54" spans="1:10" s="6" customFormat="1" ht="38.25" x14ac:dyDescent="0.2">
      <c r="A54" s="145">
        <v>48</v>
      </c>
      <c r="B54" s="104" t="s">
        <v>483</v>
      </c>
      <c r="C54" s="40" t="s">
        <v>484</v>
      </c>
      <c r="D54" s="40"/>
      <c r="E54" s="22" t="s">
        <v>3</v>
      </c>
      <c r="F54" s="40" t="s">
        <v>45</v>
      </c>
      <c r="G54" s="114">
        <v>17477.25</v>
      </c>
      <c r="H54" s="29" t="s">
        <v>485</v>
      </c>
      <c r="I54" s="115">
        <v>42628</v>
      </c>
      <c r="J54" s="114">
        <v>0</v>
      </c>
    </row>
    <row r="55" spans="1:10" s="6" customFormat="1" ht="38.25" x14ac:dyDescent="0.2">
      <c r="A55" s="145">
        <v>49</v>
      </c>
      <c r="B55" s="104" t="s">
        <v>486</v>
      </c>
      <c r="C55" s="40" t="s">
        <v>487</v>
      </c>
      <c r="D55" s="40"/>
      <c r="E55" s="22" t="s">
        <v>3</v>
      </c>
      <c r="F55" s="40" t="s">
        <v>41</v>
      </c>
      <c r="G55" s="114">
        <v>12050</v>
      </c>
      <c r="H55" s="29" t="s">
        <v>488</v>
      </c>
      <c r="I55" s="115">
        <v>42628</v>
      </c>
      <c r="J55" s="114">
        <v>0</v>
      </c>
    </row>
    <row r="56" spans="1:10" s="6" customFormat="1" ht="38.25" x14ac:dyDescent="0.2">
      <c r="A56" s="145">
        <v>50</v>
      </c>
      <c r="B56" s="104" t="s">
        <v>489</v>
      </c>
      <c r="C56" s="40" t="s">
        <v>490</v>
      </c>
      <c r="D56" s="40"/>
      <c r="E56" s="22" t="s">
        <v>3</v>
      </c>
      <c r="F56" s="40" t="s">
        <v>45</v>
      </c>
      <c r="G56" s="114">
        <v>736819.06</v>
      </c>
      <c r="H56" s="29" t="s">
        <v>491</v>
      </c>
      <c r="I56" s="115">
        <v>42628</v>
      </c>
      <c r="J56" s="114">
        <v>0</v>
      </c>
    </row>
    <row r="57" spans="1:10" s="6" customFormat="1" ht="38.25" x14ac:dyDescent="0.2">
      <c r="A57" s="145">
        <v>51</v>
      </c>
      <c r="B57" s="104" t="s">
        <v>492</v>
      </c>
      <c r="C57" s="40" t="s">
        <v>493</v>
      </c>
      <c r="D57" s="40"/>
      <c r="E57" s="22" t="s">
        <v>3</v>
      </c>
      <c r="F57" s="40" t="s">
        <v>49</v>
      </c>
      <c r="G57" s="114">
        <v>470838.9</v>
      </c>
      <c r="H57" s="29" t="s">
        <v>494</v>
      </c>
      <c r="I57" s="115">
        <v>42628</v>
      </c>
      <c r="J57" s="114">
        <v>0</v>
      </c>
    </row>
    <row r="58" spans="1:10" s="6" customFormat="1" ht="38.25" x14ac:dyDescent="0.2">
      <c r="A58" s="145">
        <v>52</v>
      </c>
      <c r="B58" s="104" t="s">
        <v>495</v>
      </c>
      <c r="C58" s="40" t="s">
        <v>490</v>
      </c>
      <c r="D58" s="40"/>
      <c r="E58" s="22" t="s">
        <v>3</v>
      </c>
      <c r="F58" s="40" t="s">
        <v>41</v>
      </c>
      <c r="G58" s="114">
        <v>29710.799999999999</v>
      </c>
      <c r="H58" s="29" t="s">
        <v>496</v>
      </c>
      <c r="I58" s="115">
        <v>42628</v>
      </c>
      <c r="J58" s="114">
        <v>0</v>
      </c>
    </row>
    <row r="59" spans="1:10" s="6" customFormat="1" ht="38.25" x14ac:dyDescent="0.2">
      <c r="A59" s="145">
        <v>53</v>
      </c>
      <c r="B59" s="104" t="s">
        <v>497</v>
      </c>
      <c r="C59" s="40" t="s">
        <v>490</v>
      </c>
      <c r="D59" s="40"/>
      <c r="E59" s="22" t="s">
        <v>3</v>
      </c>
      <c r="F59" s="40" t="s">
        <v>49</v>
      </c>
      <c r="G59" s="114">
        <v>337277.51</v>
      </c>
      <c r="H59" s="29" t="s">
        <v>498</v>
      </c>
      <c r="I59" s="115">
        <v>42628</v>
      </c>
      <c r="J59" s="114">
        <v>0</v>
      </c>
    </row>
    <row r="60" spans="1:10" s="6" customFormat="1" ht="38.25" x14ac:dyDescent="0.2">
      <c r="A60" s="145">
        <v>54</v>
      </c>
      <c r="B60" s="40" t="s">
        <v>499</v>
      </c>
      <c r="C60" s="40" t="s">
        <v>500</v>
      </c>
      <c r="D60" s="40"/>
      <c r="E60" s="22" t="s">
        <v>3</v>
      </c>
      <c r="F60" s="40" t="s">
        <v>45</v>
      </c>
      <c r="G60" s="114">
        <v>246274.14</v>
      </c>
      <c r="H60" s="29" t="s">
        <v>501</v>
      </c>
      <c r="I60" s="115">
        <v>42628</v>
      </c>
      <c r="J60" s="114">
        <v>0</v>
      </c>
    </row>
    <row r="61" spans="1:10" s="6" customFormat="1" ht="38.25" x14ac:dyDescent="0.2">
      <c r="A61" s="145">
        <v>55</v>
      </c>
      <c r="B61" s="40" t="s">
        <v>502</v>
      </c>
      <c r="C61" s="40" t="s">
        <v>500</v>
      </c>
      <c r="D61" s="40"/>
      <c r="E61" s="22" t="s">
        <v>3</v>
      </c>
      <c r="F61" s="40" t="s">
        <v>45</v>
      </c>
      <c r="G61" s="114">
        <v>898617.23</v>
      </c>
      <c r="H61" s="29" t="s">
        <v>503</v>
      </c>
      <c r="I61" s="115">
        <v>42628</v>
      </c>
      <c r="J61" s="114">
        <v>0</v>
      </c>
    </row>
    <row r="62" spans="1:10" s="6" customFormat="1" ht="38.25" x14ac:dyDescent="0.2">
      <c r="A62" s="145">
        <v>56</v>
      </c>
      <c r="B62" s="104" t="s">
        <v>504</v>
      </c>
      <c r="C62" s="40" t="s">
        <v>490</v>
      </c>
      <c r="D62" s="40"/>
      <c r="E62" s="22" t="s">
        <v>3</v>
      </c>
      <c r="F62" s="40" t="s">
        <v>146</v>
      </c>
      <c r="G62" s="114">
        <v>397213.72</v>
      </c>
      <c r="H62" s="29" t="s">
        <v>505</v>
      </c>
      <c r="I62" s="115">
        <v>42628</v>
      </c>
      <c r="J62" s="114">
        <v>0</v>
      </c>
    </row>
    <row r="63" spans="1:10" s="6" customFormat="1" ht="38.25" x14ac:dyDescent="0.2">
      <c r="A63" s="145">
        <v>57</v>
      </c>
      <c r="B63" s="104" t="s">
        <v>506</v>
      </c>
      <c r="C63" s="40" t="s">
        <v>493</v>
      </c>
      <c r="D63" s="40"/>
      <c r="E63" s="22" t="s">
        <v>3</v>
      </c>
      <c r="F63" s="40" t="s">
        <v>41</v>
      </c>
      <c r="G63" s="114">
        <v>313950</v>
      </c>
      <c r="H63" s="29" t="s">
        <v>507</v>
      </c>
      <c r="I63" s="115">
        <v>42628</v>
      </c>
      <c r="J63" s="114">
        <v>0</v>
      </c>
    </row>
    <row r="64" spans="1:10" s="6" customFormat="1" ht="38.25" x14ac:dyDescent="0.2">
      <c r="A64" s="145">
        <v>58</v>
      </c>
      <c r="B64" s="104" t="s">
        <v>508</v>
      </c>
      <c r="C64" s="40" t="s">
        <v>493</v>
      </c>
      <c r="D64" s="40"/>
      <c r="E64" s="22" t="s">
        <v>3</v>
      </c>
      <c r="F64" s="40" t="s">
        <v>146</v>
      </c>
      <c r="G64" s="114">
        <v>698684.7</v>
      </c>
      <c r="H64" s="29" t="s">
        <v>509</v>
      </c>
      <c r="I64" s="115">
        <v>42628</v>
      </c>
      <c r="J64" s="114">
        <v>0</v>
      </c>
    </row>
    <row r="65" spans="1:10" s="6" customFormat="1" ht="38.25" x14ac:dyDescent="0.2">
      <c r="A65" s="145">
        <v>59</v>
      </c>
      <c r="B65" s="104" t="s">
        <v>510</v>
      </c>
      <c r="C65" s="40" t="s">
        <v>493</v>
      </c>
      <c r="D65" s="40"/>
      <c r="E65" s="22" t="s">
        <v>3</v>
      </c>
      <c r="F65" s="40" t="s">
        <v>45</v>
      </c>
      <c r="G65" s="114">
        <v>3218.25</v>
      </c>
      <c r="H65" s="29" t="s">
        <v>511</v>
      </c>
      <c r="I65" s="115">
        <v>42628</v>
      </c>
      <c r="J65" s="114">
        <v>0</v>
      </c>
    </row>
    <row r="66" spans="1:10" s="6" customFormat="1" ht="38.25" x14ac:dyDescent="0.2">
      <c r="A66" s="145">
        <v>60</v>
      </c>
      <c r="B66" s="104" t="s">
        <v>512</v>
      </c>
      <c r="C66" s="40" t="s">
        <v>487</v>
      </c>
      <c r="D66" s="40"/>
      <c r="E66" s="22" t="s">
        <v>3</v>
      </c>
      <c r="F66" s="40" t="s">
        <v>146</v>
      </c>
      <c r="G66" s="114">
        <v>393.75</v>
      </c>
      <c r="H66" s="29" t="s">
        <v>513</v>
      </c>
      <c r="I66" s="115">
        <v>42628</v>
      </c>
      <c r="J66" s="114">
        <v>0</v>
      </c>
    </row>
    <row r="67" spans="1:10" s="6" customFormat="1" ht="38.25" x14ac:dyDescent="0.2">
      <c r="A67" s="145">
        <v>61</v>
      </c>
      <c r="B67" s="104" t="s">
        <v>514</v>
      </c>
      <c r="C67" s="40" t="s">
        <v>48</v>
      </c>
      <c r="D67" s="40"/>
      <c r="E67" s="104" t="s">
        <v>0</v>
      </c>
      <c r="F67" s="40" t="s">
        <v>41</v>
      </c>
      <c r="G67" s="114">
        <v>2427046.65</v>
      </c>
      <c r="H67" s="29" t="s">
        <v>515</v>
      </c>
      <c r="I67" s="115">
        <v>42628</v>
      </c>
      <c r="J67" s="114">
        <v>0</v>
      </c>
    </row>
    <row r="68" spans="1:10" s="6" customFormat="1" ht="38.25" x14ac:dyDescent="0.2">
      <c r="A68" s="145">
        <v>62</v>
      </c>
      <c r="B68" s="40" t="s">
        <v>280</v>
      </c>
      <c r="C68" s="40" t="s">
        <v>640</v>
      </c>
      <c r="D68" s="40"/>
      <c r="E68" s="22" t="s">
        <v>3</v>
      </c>
      <c r="F68" s="40" t="s">
        <v>41</v>
      </c>
      <c r="G68" s="114">
        <v>2316231.4500000002</v>
      </c>
      <c r="H68" s="29" t="s">
        <v>641</v>
      </c>
      <c r="I68" s="115" t="s">
        <v>642</v>
      </c>
      <c r="J68" s="114">
        <v>0</v>
      </c>
    </row>
    <row r="69" spans="1:10" s="6" customFormat="1" ht="38.25" x14ac:dyDescent="0.2">
      <c r="A69" s="145">
        <v>63</v>
      </c>
      <c r="B69" s="104" t="s">
        <v>673</v>
      </c>
      <c r="C69" s="40" t="s">
        <v>40</v>
      </c>
      <c r="D69" s="40"/>
      <c r="E69" s="22" t="s">
        <v>3</v>
      </c>
      <c r="F69" s="40" t="s">
        <v>45</v>
      </c>
      <c r="G69" s="114">
        <v>109425.55</v>
      </c>
      <c r="H69" s="29" t="s">
        <v>674</v>
      </c>
      <c r="I69" s="115">
        <v>42649</v>
      </c>
      <c r="J69" s="114">
        <v>0</v>
      </c>
    </row>
    <row r="70" spans="1:10" s="6" customFormat="1" ht="38.25" x14ac:dyDescent="0.2">
      <c r="A70" s="145">
        <v>64</v>
      </c>
      <c r="B70" s="40" t="s">
        <v>681</v>
      </c>
      <c r="C70" s="40" t="s">
        <v>48</v>
      </c>
      <c r="D70" s="40"/>
      <c r="E70" s="22" t="s">
        <v>3</v>
      </c>
      <c r="F70" s="40" t="s">
        <v>41</v>
      </c>
      <c r="G70" s="114">
        <v>801076.5</v>
      </c>
      <c r="H70" s="29" t="s">
        <v>682</v>
      </c>
      <c r="I70" s="115">
        <v>42654</v>
      </c>
      <c r="J70" s="114">
        <v>0</v>
      </c>
    </row>
    <row r="71" spans="1:10" s="6" customFormat="1" ht="38.25" x14ac:dyDescent="0.2">
      <c r="A71" s="145">
        <v>65</v>
      </c>
      <c r="B71" s="104" t="s">
        <v>683</v>
      </c>
      <c r="C71" s="40" t="s">
        <v>684</v>
      </c>
      <c r="D71" s="104" t="s">
        <v>685</v>
      </c>
      <c r="E71" s="22" t="s">
        <v>3</v>
      </c>
      <c r="F71" s="40" t="s">
        <v>41</v>
      </c>
      <c r="G71" s="114">
        <f>25600.68*1.05</f>
        <v>26880.714</v>
      </c>
      <c r="H71" s="29" t="s">
        <v>686</v>
      </c>
      <c r="I71" s="115">
        <v>42649</v>
      </c>
      <c r="J71" s="114">
        <v>0</v>
      </c>
    </row>
    <row r="72" spans="1:10" s="6" customFormat="1" ht="38.25" x14ac:dyDescent="0.2">
      <c r="A72" s="145">
        <v>66</v>
      </c>
      <c r="B72" s="40" t="s">
        <v>687</v>
      </c>
      <c r="C72" s="40" t="s">
        <v>323</v>
      </c>
      <c r="D72" s="40"/>
      <c r="E72" s="22" t="s">
        <v>3</v>
      </c>
      <c r="F72" s="40" t="s">
        <v>307</v>
      </c>
      <c r="G72" s="114">
        <v>8058666.6600000001</v>
      </c>
      <c r="H72" s="29" t="s">
        <v>688</v>
      </c>
      <c r="I72" s="115">
        <v>42649</v>
      </c>
      <c r="J72" s="114">
        <v>0</v>
      </c>
    </row>
    <row r="73" spans="1:10" s="6" customFormat="1" ht="38.25" x14ac:dyDescent="0.2">
      <c r="A73" s="145">
        <v>67</v>
      </c>
      <c r="B73" s="104" t="s">
        <v>689</v>
      </c>
      <c r="C73" s="40" t="s">
        <v>684</v>
      </c>
      <c r="D73" s="104" t="s">
        <v>685</v>
      </c>
      <c r="E73" s="22" t="s">
        <v>3</v>
      </c>
      <c r="F73" s="40" t="s">
        <v>690</v>
      </c>
      <c r="G73" s="114">
        <v>448373.52</v>
      </c>
      <c r="H73" s="29" t="s">
        <v>691</v>
      </c>
      <c r="I73" s="115">
        <v>42649</v>
      </c>
      <c r="J73" s="114">
        <v>0</v>
      </c>
    </row>
    <row r="74" spans="1:10" s="6" customFormat="1" ht="38.25" x14ac:dyDescent="0.2">
      <c r="A74" s="145">
        <v>68</v>
      </c>
      <c r="B74" s="104" t="s">
        <v>696</v>
      </c>
      <c r="C74" s="40" t="s">
        <v>684</v>
      </c>
      <c r="D74" s="104" t="s">
        <v>685</v>
      </c>
      <c r="E74" s="22" t="s">
        <v>3</v>
      </c>
      <c r="F74" s="40" t="s">
        <v>347</v>
      </c>
      <c r="G74" s="114">
        <v>8334.9</v>
      </c>
      <c r="H74" s="29" t="s">
        <v>697</v>
      </c>
      <c r="I74" s="115">
        <v>42649</v>
      </c>
      <c r="J74" s="114">
        <v>0</v>
      </c>
    </row>
    <row r="75" spans="1:10" s="6" customFormat="1" ht="38.25" x14ac:dyDescent="0.2">
      <c r="A75" s="145">
        <v>69</v>
      </c>
      <c r="B75" s="104" t="s">
        <v>698</v>
      </c>
      <c r="C75" s="40" t="s">
        <v>106</v>
      </c>
      <c r="D75" s="40"/>
      <c r="E75" s="22" t="s">
        <v>3</v>
      </c>
      <c r="F75" s="40" t="s">
        <v>699</v>
      </c>
      <c r="G75" s="114">
        <v>743400</v>
      </c>
      <c r="H75" s="29" t="s">
        <v>700</v>
      </c>
      <c r="I75" s="115">
        <v>42628</v>
      </c>
      <c r="J75" s="114">
        <v>0</v>
      </c>
    </row>
    <row r="76" spans="1:10" s="6" customFormat="1" ht="38.25" x14ac:dyDescent="0.2">
      <c r="A76" s="145">
        <v>70</v>
      </c>
      <c r="B76" s="104" t="s">
        <v>701</v>
      </c>
      <c r="C76" s="40" t="s">
        <v>684</v>
      </c>
      <c r="D76" s="104" t="s">
        <v>685</v>
      </c>
      <c r="E76" s="22" t="s">
        <v>3</v>
      </c>
      <c r="F76" s="40" t="s">
        <v>107</v>
      </c>
      <c r="G76" s="114">
        <f>42192.92+29260+5221.9+997.5*1.05</f>
        <v>77722.194999999992</v>
      </c>
      <c r="H76" s="29" t="s">
        <v>702</v>
      </c>
      <c r="I76" s="115">
        <v>42649</v>
      </c>
      <c r="J76" s="114">
        <v>0</v>
      </c>
    </row>
    <row r="77" spans="1:10" s="6" customFormat="1" ht="38.25" x14ac:dyDescent="0.2">
      <c r="A77" s="145">
        <v>71</v>
      </c>
      <c r="B77" s="40" t="s">
        <v>775</v>
      </c>
      <c r="C77" s="40" t="s">
        <v>776</v>
      </c>
      <c r="D77" s="40"/>
      <c r="E77" s="22" t="s">
        <v>3</v>
      </c>
      <c r="F77" s="40" t="s">
        <v>45</v>
      </c>
      <c r="G77" s="114">
        <v>7499124.7800000003</v>
      </c>
      <c r="H77" s="29" t="s">
        <v>777</v>
      </c>
      <c r="I77" s="115">
        <v>42679</v>
      </c>
      <c r="J77" s="114">
        <v>0</v>
      </c>
    </row>
    <row r="78" spans="1:10" s="6" customFormat="1" ht="38.25" x14ac:dyDescent="0.2">
      <c r="A78" s="145">
        <v>72</v>
      </c>
      <c r="B78" s="40" t="s">
        <v>815</v>
      </c>
      <c r="C78" s="40" t="s">
        <v>816</v>
      </c>
      <c r="D78" s="40"/>
      <c r="E78" s="22" t="s">
        <v>3</v>
      </c>
      <c r="F78" s="40" t="s">
        <v>45</v>
      </c>
      <c r="G78" s="114">
        <v>3359582.94</v>
      </c>
      <c r="H78" s="29" t="s">
        <v>817</v>
      </c>
      <c r="I78" s="115">
        <v>42690</v>
      </c>
      <c r="J78" s="114">
        <v>0</v>
      </c>
    </row>
    <row r="79" spans="1:10" s="6" customFormat="1" ht="38.25" x14ac:dyDescent="0.2">
      <c r="A79" s="145">
        <v>73</v>
      </c>
      <c r="B79" s="40" t="s">
        <v>828</v>
      </c>
      <c r="C79" s="40" t="s">
        <v>48</v>
      </c>
      <c r="D79" s="40"/>
      <c r="E79" s="22" t="s">
        <v>3</v>
      </c>
      <c r="F79" s="40" t="s">
        <v>49</v>
      </c>
      <c r="G79" s="114">
        <v>1504909.35</v>
      </c>
      <c r="H79" s="29" t="s">
        <v>829</v>
      </c>
      <c r="I79" s="115" t="s">
        <v>830</v>
      </c>
      <c r="J79" s="114">
        <v>0</v>
      </c>
    </row>
    <row r="80" spans="1:10" s="6" customFormat="1" ht="38.25" x14ac:dyDescent="0.2">
      <c r="A80" s="145">
        <v>74</v>
      </c>
      <c r="B80" s="40" t="s">
        <v>850</v>
      </c>
      <c r="C80" s="40" t="s">
        <v>851</v>
      </c>
      <c r="D80" s="40"/>
      <c r="E80" s="22" t="s">
        <v>3</v>
      </c>
      <c r="F80" s="40" t="s">
        <v>41</v>
      </c>
      <c r="G80" s="114">
        <v>167328.89000000001</v>
      </c>
      <c r="H80" s="29" t="s">
        <v>852</v>
      </c>
      <c r="I80" s="115" t="s">
        <v>853</v>
      </c>
      <c r="J80" s="114">
        <v>0</v>
      </c>
    </row>
    <row r="81" spans="1:10" s="6" customFormat="1" ht="38.25" x14ac:dyDescent="0.2">
      <c r="A81" s="145">
        <v>75</v>
      </c>
      <c r="B81" s="40" t="s">
        <v>854</v>
      </c>
      <c r="C81" s="40" t="s">
        <v>851</v>
      </c>
      <c r="D81" s="40"/>
      <c r="E81" s="22" t="s">
        <v>3</v>
      </c>
      <c r="F81" s="40" t="s">
        <v>41</v>
      </c>
      <c r="G81" s="114">
        <v>115381.14</v>
      </c>
      <c r="H81" s="29" t="s">
        <v>855</v>
      </c>
      <c r="I81" s="115" t="s">
        <v>853</v>
      </c>
      <c r="J81" s="114">
        <v>0</v>
      </c>
    </row>
    <row r="82" spans="1:10" s="6" customFormat="1" ht="38.25" x14ac:dyDescent="0.2">
      <c r="A82" s="145">
        <v>76</v>
      </c>
      <c r="B82" s="40" t="s">
        <v>867</v>
      </c>
      <c r="C82" s="40" t="s">
        <v>144</v>
      </c>
      <c r="D82" s="40"/>
      <c r="E82" s="22" t="s">
        <v>3</v>
      </c>
      <c r="F82" s="40" t="s">
        <v>146</v>
      </c>
      <c r="G82" s="114">
        <v>1018500</v>
      </c>
      <c r="H82" s="29" t="s">
        <v>869</v>
      </c>
      <c r="I82" s="115" t="s">
        <v>868</v>
      </c>
      <c r="J82" s="114">
        <v>0</v>
      </c>
    </row>
    <row r="83" spans="1:10" s="6" customFormat="1" ht="38.25" x14ac:dyDescent="0.2">
      <c r="A83" s="145">
        <v>77</v>
      </c>
      <c r="B83" s="40" t="s">
        <v>687</v>
      </c>
      <c r="C83" s="40" t="s">
        <v>323</v>
      </c>
      <c r="D83" s="40"/>
      <c r="E83" s="22" t="s">
        <v>3</v>
      </c>
      <c r="F83" s="40" t="s">
        <v>307</v>
      </c>
      <c r="G83" s="114">
        <f>7461064.28*1.05</f>
        <v>7834117.4940000009</v>
      </c>
      <c r="H83" s="29" t="s">
        <v>2177</v>
      </c>
      <c r="I83" s="115">
        <v>42842</v>
      </c>
      <c r="J83" s="114">
        <v>0</v>
      </c>
    </row>
    <row r="84" spans="1:10" s="6" customFormat="1" ht="38.25" x14ac:dyDescent="0.2">
      <c r="A84" s="145">
        <v>78</v>
      </c>
      <c r="B84" s="40" t="s">
        <v>2178</v>
      </c>
      <c r="C84" s="40" t="s">
        <v>500</v>
      </c>
      <c r="D84" s="40"/>
      <c r="E84" s="22" t="s">
        <v>3</v>
      </c>
      <c r="F84" s="40" t="s">
        <v>2104</v>
      </c>
      <c r="G84" s="114">
        <f>267200*1.05</f>
        <v>280560</v>
      </c>
      <c r="H84" s="29" t="s">
        <v>2179</v>
      </c>
      <c r="I84" s="115">
        <v>42842</v>
      </c>
      <c r="J84" s="114">
        <v>0</v>
      </c>
    </row>
    <row r="85" spans="1:10" s="6" customFormat="1" ht="38.25" x14ac:dyDescent="0.2">
      <c r="A85" s="145">
        <v>79</v>
      </c>
      <c r="B85" s="40" t="s">
        <v>2180</v>
      </c>
      <c r="C85" s="40" t="s">
        <v>500</v>
      </c>
      <c r="D85" s="40"/>
      <c r="E85" s="22" t="s">
        <v>3</v>
      </c>
      <c r="F85" s="40" t="s">
        <v>45</v>
      </c>
      <c r="G85" s="114">
        <v>265458.38</v>
      </c>
      <c r="H85" s="29" t="s">
        <v>2181</v>
      </c>
      <c r="I85" s="115">
        <v>42842</v>
      </c>
      <c r="J85" s="114">
        <v>0</v>
      </c>
    </row>
    <row r="86" spans="1:10" s="6" customFormat="1" ht="38.25" x14ac:dyDescent="0.2">
      <c r="A86" s="145">
        <v>80</v>
      </c>
      <c r="B86" s="40" t="s">
        <v>2182</v>
      </c>
      <c r="C86" s="40" t="s">
        <v>323</v>
      </c>
      <c r="D86" s="40"/>
      <c r="E86" s="22" t="s">
        <v>3</v>
      </c>
      <c r="F86" s="40" t="s">
        <v>45</v>
      </c>
      <c r="G86" s="114">
        <v>2313832.5</v>
      </c>
      <c r="H86" s="29" t="s">
        <v>2183</v>
      </c>
      <c r="I86" s="115">
        <v>42839</v>
      </c>
      <c r="J86" s="114">
        <v>0</v>
      </c>
    </row>
    <row r="87" spans="1:10" s="6" customFormat="1" ht="38.25" x14ac:dyDescent="0.2">
      <c r="A87" s="145">
        <v>81</v>
      </c>
      <c r="B87" s="104" t="s">
        <v>3113</v>
      </c>
      <c r="C87" s="40" t="s">
        <v>3116</v>
      </c>
      <c r="D87" s="40"/>
      <c r="E87" s="22" t="s">
        <v>3</v>
      </c>
      <c r="F87" s="40" t="s">
        <v>49</v>
      </c>
      <c r="G87" s="114">
        <v>1494782.1</v>
      </c>
      <c r="H87" s="104" t="s">
        <v>3114</v>
      </c>
      <c r="I87" s="40" t="s">
        <v>3115</v>
      </c>
      <c r="J87" s="114">
        <v>0</v>
      </c>
    </row>
    <row r="88" spans="1:10" s="6" customFormat="1" x14ac:dyDescent="0.2">
      <c r="A88" s="145"/>
      <c r="B88" s="40"/>
      <c r="C88" s="40"/>
      <c r="D88" s="40"/>
      <c r="E88" s="40"/>
      <c r="F88" s="40"/>
      <c r="G88" s="114"/>
      <c r="H88" s="40"/>
      <c r="I88" s="115"/>
      <c r="J88" s="114"/>
    </row>
  </sheetData>
  <sheetProtection selectLockedCells="1" selectUnlockedCells="1"/>
  <autoFilter ref="A6:J88"/>
  <mergeCells count="3">
    <mergeCell ref="A1:C1"/>
    <mergeCell ref="A2:C2"/>
    <mergeCell ref="A4:E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64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zoomScale="80" zoomScaleNormal="80" workbookViewId="0">
      <pane ySplit="6" topLeftCell="A7" activePane="bottomLeft" state="frozen"/>
      <selection pane="bottomLeft" activeCell="A7" sqref="A7:A76"/>
    </sheetView>
  </sheetViews>
  <sheetFormatPr defaultRowHeight="12.75" x14ac:dyDescent="0.2"/>
  <cols>
    <col min="2" max="2" width="46.140625" customWidth="1"/>
    <col min="3" max="3" width="15.28515625" bestFit="1" customWidth="1"/>
    <col min="4" max="4" width="19.85546875" bestFit="1" customWidth="1"/>
    <col min="5" max="5" width="12.85546875" customWidth="1"/>
    <col min="6" max="6" width="26.28515625" customWidth="1"/>
    <col min="7" max="7" width="29.42578125" customWidth="1"/>
    <col min="8" max="8" width="26.42578125" customWidth="1"/>
    <col min="9" max="9" width="14.28515625" customWidth="1"/>
    <col min="10" max="10" width="19.85546875" customWidth="1"/>
    <col min="11" max="11" width="26.7109375" customWidth="1"/>
  </cols>
  <sheetData>
    <row r="1" spans="1:10" x14ac:dyDescent="0.2">
      <c r="A1" s="33" t="s">
        <v>6</v>
      </c>
      <c r="B1" s="33"/>
      <c r="C1" s="1"/>
      <c r="D1" s="1"/>
    </row>
    <row r="2" spans="1:10" x14ac:dyDescent="0.2">
      <c r="A2" s="33" t="s">
        <v>1283</v>
      </c>
      <c r="B2" s="33"/>
      <c r="C2" s="1"/>
      <c r="D2" s="1"/>
    </row>
    <row r="4" spans="1:10" x14ac:dyDescent="0.2">
      <c r="A4" s="213" t="s">
        <v>1478</v>
      </c>
      <c r="B4" s="213"/>
      <c r="C4" s="213"/>
      <c r="D4" s="213"/>
      <c r="E4" s="213"/>
      <c r="F4" s="213"/>
      <c r="G4" s="33"/>
      <c r="H4" s="33"/>
    </row>
    <row r="6" spans="1:10" ht="63.75" x14ac:dyDescent="0.2">
      <c r="A6" s="30" t="s">
        <v>467</v>
      </c>
      <c r="B6" s="30" t="s">
        <v>7</v>
      </c>
      <c r="C6" s="30" t="s">
        <v>2</v>
      </c>
      <c r="D6" s="30" t="s">
        <v>8</v>
      </c>
      <c r="E6" s="30" t="s">
        <v>9</v>
      </c>
      <c r="F6" s="31" t="s">
        <v>1394</v>
      </c>
      <c r="G6" s="30" t="s">
        <v>469</v>
      </c>
      <c r="H6" s="30" t="s">
        <v>10</v>
      </c>
      <c r="I6" s="30" t="s">
        <v>13</v>
      </c>
      <c r="J6" s="30" t="s">
        <v>14</v>
      </c>
    </row>
    <row r="7" spans="1:10" ht="51" x14ac:dyDescent="0.2">
      <c r="A7" s="54">
        <v>1</v>
      </c>
      <c r="B7" s="55" t="s">
        <v>1284</v>
      </c>
      <c r="C7" s="54" t="s">
        <v>44</v>
      </c>
      <c r="D7" s="54" t="s">
        <v>4254</v>
      </c>
      <c r="E7" s="12" t="s">
        <v>0</v>
      </c>
      <c r="F7" s="56">
        <v>7691495.8099999996</v>
      </c>
      <c r="G7" s="55" t="s">
        <v>1407</v>
      </c>
      <c r="H7" s="54" t="s">
        <v>45</v>
      </c>
      <c r="I7" s="57">
        <v>42931</v>
      </c>
      <c r="J7" s="56">
        <v>0</v>
      </c>
    </row>
    <row r="8" spans="1:10" ht="51" x14ac:dyDescent="0.2">
      <c r="A8" s="54">
        <v>2</v>
      </c>
      <c r="B8" s="54" t="s">
        <v>1156</v>
      </c>
      <c r="C8" s="25" t="s">
        <v>44</v>
      </c>
      <c r="D8" s="25" t="s">
        <v>4257</v>
      </c>
      <c r="E8" s="12" t="s">
        <v>0</v>
      </c>
      <c r="F8" s="56">
        <v>70818206.359999999</v>
      </c>
      <c r="G8" s="55" t="s">
        <v>1408</v>
      </c>
      <c r="H8" s="54" t="s">
        <v>131</v>
      </c>
      <c r="I8" s="57">
        <v>42955</v>
      </c>
      <c r="J8" s="56">
        <v>0</v>
      </c>
    </row>
    <row r="9" spans="1:10" ht="51" x14ac:dyDescent="0.2">
      <c r="A9" s="54">
        <v>3</v>
      </c>
      <c r="B9" s="55" t="s">
        <v>1285</v>
      </c>
      <c r="C9" s="54" t="s">
        <v>44</v>
      </c>
      <c r="D9" s="54" t="s">
        <v>4258</v>
      </c>
      <c r="E9" s="12" t="s">
        <v>0</v>
      </c>
      <c r="F9" s="56">
        <v>3359867.7</v>
      </c>
      <c r="G9" s="55" t="s">
        <v>1409</v>
      </c>
      <c r="H9" s="54" t="s">
        <v>45</v>
      </c>
      <c r="I9" s="57">
        <v>42944</v>
      </c>
      <c r="J9" s="56">
        <v>0</v>
      </c>
    </row>
    <row r="10" spans="1:10" ht="51" x14ac:dyDescent="0.2">
      <c r="A10" s="54">
        <v>4</v>
      </c>
      <c r="B10" s="55" t="s">
        <v>1286</v>
      </c>
      <c r="C10" s="54" t="s">
        <v>44</v>
      </c>
      <c r="D10" s="54" t="s">
        <v>4259</v>
      </c>
      <c r="E10" s="12" t="s">
        <v>0</v>
      </c>
      <c r="F10" s="56">
        <v>28383547.710000001</v>
      </c>
      <c r="G10" s="55" t="s">
        <v>1410</v>
      </c>
      <c r="H10" s="54" t="s">
        <v>45</v>
      </c>
      <c r="I10" s="57">
        <v>42965</v>
      </c>
      <c r="J10" s="56">
        <v>0</v>
      </c>
    </row>
    <row r="11" spans="1:10" ht="51" x14ac:dyDescent="0.2">
      <c r="A11" s="54">
        <v>5</v>
      </c>
      <c r="B11" s="12" t="s">
        <v>1377</v>
      </c>
      <c r="C11" s="54" t="s">
        <v>44</v>
      </c>
      <c r="D11" s="54" t="s">
        <v>4260</v>
      </c>
      <c r="E11" s="12" t="s">
        <v>0</v>
      </c>
      <c r="F11" s="18">
        <v>3044969.24</v>
      </c>
      <c r="G11" s="12" t="s">
        <v>1411</v>
      </c>
      <c r="H11" s="25" t="s">
        <v>45</v>
      </c>
      <c r="I11" s="28">
        <v>42976</v>
      </c>
      <c r="J11" s="18">
        <v>0</v>
      </c>
    </row>
    <row r="12" spans="1:10" ht="51" x14ac:dyDescent="0.2">
      <c r="A12" s="54">
        <v>6</v>
      </c>
      <c r="B12" s="12" t="s">
        <v>1378</v>
      </c>
      <c r="C12" s="54" t="s">
        <v>44</v>
      </c>
      <c r="D12" s="54" t="s">
        <v>4261</v>
      </c>
      <c r="E12" s="12" t="s">
        <v>0</v>
      </c>
      <c r="F12" s="18">
        <v>5909051.2300000004</v>
      </c>
      <c r="G12" s="12" t="s">
        <v>1412</v>
      </c>
      <c r="H12" s="25" t="s">
        <v>45</v>
      </c>
      <c r="I12" s="28">
        <v>42976</v>
      </c>
      <c r="J12" s="18">
        <v>0</v>
      </c>
    </row>
    <row r="13" spans="1:10" ht="51" x14ac:dyDescent="0.2">
      <c r="A13" s="54">
        <v>7</v>
      </c>
      <c r="B13" s="12" t="s">
        <v>1379</v>
      </c>
      <c r="C13" s="54" t="s">
        <v>44</v>
      </c>
      <c r="D13" s="54" t="s">
        <v>4262</v>
      </c>
      <c r="E13" s="12" t="s">
        <v>0</v>
      </c>
      <c r="F13" s="18">
        <v>5017703.25</v>
      </c>
      <c r="G13" s="12" t="s">
        <v>1413</v>
      </c>
      <c r="H13" s="25" t="s">
        <v>45</v>
      </c>
      <c r="I13" s="28">
        <v>42976</v>
      </c>
      <c r="J13" s="18">
        <v>0</v>
      </c>
    </row>
    <row r="14" spans="1:10" ht="51" x14ac:dyDescent="0.2">
      <c r="A14" s="54">
        <v>8</v>
      </c>
      <c r="B14" s="12" t="s">
        <v>1380</v>
      </c>
      <c r="C14" s="54" t="s">
        <v>44</v>
      </c>
      <c r="D14" s="54" t="s">
        <v>4263</v>
      </c>
      <c r="E14" s="12" t="s">
        <v>0</v>
      </c>
      <c r="F14" s="18">
        <v>1344000</v>
      </c>
      <c r="G14" s="12" t="s">
        <v>1414</v>
      </c>
      <c r="H14" s="25" t="s">
        <v>45</v>
      </c>
      <c r="I14" s="28">
        <v>42976</v>
      </c>
      <c r="J14" s="18">
        <v>0</v>
      </c>
    </row>
    <row r="15" spans="1:10" ht="51" x14ac:dyDescent="0.2">
      <c r="A15" s="54">
        <v>9</v>
      </c>
      <c r="B15" s="12" t="s">
        <v>1381</v>
      </c>
      <c r="C15" s="54" t="s">
        <v>44</v>
      </c>
      <c r="D15" s="54" t="s">
        <v>4263</v>
      </c>
      <c r="E15" s="12" t="s">
        <v>0</v>
      </c>
      <c r="F15" s="18">
        <v>5869158.75</v>
      </c>
      <c r="G15" s="12" t="s">
        <v>1415</v>
      </c>
      <c r="H15" s="25" t="s">
        <v>45</v>
      </c>
      <c r="I15" s="28">
        <v>42976</v>
      </c>
      <c r="J15" s="18">
        <v>0</v>
      </c>
    </row>
    <row r="16" spans="1:10" ht="51" x14ac:dyDescent="0.2">
      <c r="A16" s="54">
        <v>10</v>
      </c>
      <c r="B16" s="12" t="s">
        <v>1382</v>
      </c>
      <c r="C16" s="54" t="s">
        <v>44</v>
      </c>
      <c r="D16" s="54" t="s">
        <v>4263</v>
      </c>
      <c r="E16" s="12" t="s">
        <v>0</v>
      </c>
      <c r="F16" s="18">
        <v>1772589</v>
      </c>
      <c r="G16" s="12" t="s">
        <v>1416</v>
      </c>
      <c r="H16" s="25" t="s">
        <v>45</v>
      </c>
      <c r="I16" s="28">
        <v>42976</v>
      </c>
      <c r="J16" s="18">
        <v>0</v>
      </c>
    </row>
    <row r="17" spans="1:10" ht="51" x14ac:dyDescent="0.2">
      <c r="A17" s="54">
        <v>11</v>
      </c>
      <c r="B17" s="12" t="s">
        <v>1378</v>
      </c>
      <c r="C17" s="25" t="s">
        <v>44</v>
      </c>
      <c r="D17" s="54" t="s">
        <v>4261</v>
      </c>
      <c r="E17" s="12" t="s">
        <v>0</v>
      </c>
      <c r="F17" s="18">
        <v>5909051.2300000004</v>
      </c>
      <c r="G17" s="12" t="s">
        <v>1417</v>
      </c>
      <c r="H17" s="25" t="s">
        <v>41</v>
      </c>
      <c r="I17" s="28">
        <v>42976</v>
      </c>
      <c r="J17" s="18">
        <v>0</v>
      </c>
    </row>
    <row r="18" spans="1:10" ht="51" x14ac:dyDescent="0.2">
      <c r="A18" s="54">
        <v>12</v>
      </c>
      <c r="B18" s="12" t="s">
        <v>1379</v>
      </c>
      <c r="C18" s="25" t="s">
        <v>44</v>
      </c>
      <c r="D18" s="54" t="s">
        <v>4262</v>
      </c>
      <c r="E18" s="12" t="s">
        <v>0</v>
      </c>
      <c r="F18" s="18">
        <v>5028501.1399999997</v>
      </c>
      <c r="G18" s="12" t="s">
        <v>1418</v>
      </c>
      <c r="H18" s="25" t="s">
        <v>41</v>
      </c>
      <c r="I18" s="28">
        <v>42976</v>
      </c>
      <c r="J18" s="18">
        <v>0</v>
      </c>
    </row>
    <row r="19" spans="1:10" ht="51" x14ac:dyDescent="0.2">
      <c r="A19" s="54">
        <v>13</v>
      </c>
      <c r="B19" s="12" t="s">
        <v>1380</v>
      </c>
      <c r="C19" s="25" t="s">
        <v>44</v>
      </c>
      <c r="D19" s="54" t="s">
        <v>4263</v>
      </c>
      <c r="E19" s="12" t="s">
        <v>0</v>
      </c>
      <c r="F19" s="18">
        <v>1344000</v>
      </c>
      <c r="G19" s="12" t="s">
        <v>1419</v>
      </c>
      <c r="H19" s="25" t="s">
        <v>41</v>
      </c>
      <c r="I19" s="28">
        <v>42976</v>
      </c>
      <c r="J19" s="18">
        <v>0</v>
      </c>
    </row>
    <row r="20" spans="1:10" ht="51" x14ac:dyDescent="0.2">
      <c r="A20" s="54">
        <v>14</v>
      </c>
      <c r="B20" s="12" t="s">
        <v>1381</v>
      </c>
      <c r="C20" s="25" t="s">
        <v>44</v>
      </c>
      <c r="D20" s="54" t="s">
        <v>4263</v>
      </c>
      <c r="E20" s="12" t="s">
        <v>0</v>
      </c>
      <c r="F20" s="18">
        <v>5869213.3499999996</v>
      </c>
      <c r="G20" s="12" t="s">
        <v>1420</v>
      </c>
      <c r="H20" s="25" t="s">
        <v>41</v>
      </c>
      <c r="I20" s="28">
        <v>42976</v>
      </c>
      <c r="J20" s="18">
        <v>0</v>
      </c>
    </row>
    <row r="21" spans="1:10" ht="51" x14ac:dyDescent="0.2">
      <c r="A21" s="54">
        <v>15</v>
      </c>
      <c r="B21" s="12" t="s">
        <v>1382</v>
      </c>
      <c r="C21" s="25" t="s">
        <v>44</v>
      </c>
      <c r="D21" s="54" t="s">
        <v>4263</v>
      </c>
      <c r="E21" s="12" t="s">
        <v>0</v>
      </c>
      <c r="F21" s="18">
        <v>1772589</v>
      </c>
      <c r="G21" s="12" t="s">
        <v>1421</v>
      </c>
      <c r="H21" s="25" t="s">
        <v>41</v>
      </c>
      <c r="I21" s="28">
        <v>42976</v>
      </c>
      <c r="J21" s="18">
        <v>0</v>
      </c>
    </row>
    <row r="22" spans="1:10" ht="51" x14ac:dyDescent="0.2">
      <c r="A22" s="54">
        <v>16</v>
      </c>
      <c r="B22" s="12" t="s">
        <v>1380</v>
      </c>
      <c r="C22" s="25" t="s">
        <v>44</v>
      </c>
      <c r="D22" s="54" t="s">
        <v>4263</v>
      </c>
      <c r="E22" s="12" t="s">
        <v>0</v>
      </c>
      <c r="F22" s="18">
        <v>1428000</v>
      </c>
      <c r="G22" s="12" t="s">
        <v>1436</v>
      </c>
      <c r="H22" s="25" t="s">
        <v>146</v>
      </c>
      <c r="I22" s="28">
        <v>42976</v>
      </c>
      <c r="J22" s="18">
        <v>0</v>
      </c>
    </row>
    <row r="23" spans="1:10" ht="51" x14ac:dyDescent="0.2">
      <c r="A23" s="54">
        <v>17</v>
      </c>
      <c r="B23" s="12" t="s">
        <v>1381</v>
      </c>
      <c r="C23" s="25" t="s">
        <v>44</v>
      </c>
      <c r="D23" s="54" t="s">
        <v>4263</v>
      </c>
      <c r="E23" s="12" t="s">
        <v>0</v>
      </c>
      <c r="F23" s="18">
        <v>5869500</v>
      </c>
      <c r="G23" s="12" t="s">
        <v>1422</v>
      </c>
      <c r="H23" s="25" t="s">
        <v>146</v>
      </c>
      <c r="I23" s="28">
        <v>42976</v>
      </c>
      <c r="J23" s="18">
        <v>0</v>
      </c>
    </row>
    <row r="24" spans="1:10" ht="51" x14ac:dyDescent="0.2">
      <c r="A24" s="54">
        <v>18</v>
      </c>
      <c r="B24" s="12" t="s">
        <v>1382</v>
      </c>
      <c r="C24" s="25" t="s">
        <v>44</v>
      </c>
      <c r="D24" s="54" t="s">
        <v>4263</v>
      </c>
      <c r="E24" s="12" t="s">
        <v>0</v>
      </c>
      <c r="F24" s="18">
        <v>1774500</v>
      </c>
      <c r="G24" s="12" t="s">
        <v>1423</v>
      </c>
      <c r="H24" s="25" t="s">
        <v>146</v>
      </c>
      <c r="I24" s="28">
        <v>42976</v>
      </c>
      <c r="J24" s="18">
        <v>0</v>
      </c>
    </row>
    <row r="25" spans="1:10" ht="51" x14ac:dyDescent="0.2">
      <c r="A25" s="54">
        <v>19</v>
      </c>
      <c r="B25" s="12" t="s">
        <v>1424</v>
      </c>
      <c r="C25" s="25" t="s">
        <v>44</v>
      </c>
      <c r="D25" s="54" t="s">
        <v>4261</v>
      </c>
      <c r="E25" s="12" t="s">
        <v>0</v>
      </c>
      <c r="F25" s="18">
        <v>245689.5</v>
      </c>
      <c r="G25" s="12" t="s">
        <v>1425</v>
      </c>
      <c r="H25" s="25" t="s">
        <v>146</v>
      </c>
      <c r="I25" s="28">
        <v>42976</v>
      </c>
      <c r="J25" s="18">
        <v>0</v>
      </c>
    </row>
    <row r="26" spans="1:10" ht="51" x14ac:dyDescent="0.2">
      <c r="A26" s="54">
        <v>20</v>
      </c>
      <c r="B26" s="12" t="s">
        <v>1378</v>
      </c>
      <c r="C26" s="25" t="s">
        <v>44</v>
      </c>
      <c r="D26" s="54" t="s">
        <v>4261</v>
      </c>
      <c r="E26" s="12" t="s">
        <v>0</v>
      </c>
      <c r="F26" s="18">
        <v>5481422.3499999996</v>
      </c>
      <c r="G26" s="12" t="s">
        <v>1426</v>
      </c>
      <c r="H26" s="25" t="s">
        <v>146</v>
      </c>
      <c r="I26" s="28">
        <v>42976</v>
      </c>
      <c r="J26" s="18">
        <v>0</v>
      </c>
    </row>
    <row r="27" spans="1:10" ht="51" x14ac:dyDescent="0.2">
      <c r="A27" s="54">
        <v>21</v>
      </c>
      <c r="B27" s="12" t="s">
        <v>1379</v>
      </c>
      <c r="C27" s="25" t="s">
        <v>44</v>
      </c>
      <c r="D27" s="54" t="s">
        <v>4262</v>
      </c>
      <c r="E27" s="12" t="s">
        <v>0</v>
      </c>
      <c r="F27" s="18">
        <v>5058851.3899999997</v>
      </c>
      <c r="G27" s="12" t="s">
        <v>1427</v>
      </c>
      <c r="H27" s="25" t="s">
        <v>146</v>
      </c>
      <c r="I27" s="28">
        <v>42976</v>
      </c>
      <c r="J27" s="18">
        <v>0</v>
      </c>
    </row>
    <row r="28" spans="1:10" ht="51" x14ac:dyDescent="0.2">
      <c r="A28" s="54">
        <v>22</v>
      </c>
      <c r="B28" s="12" t="s">
        <v>1377</v>
      </c>
      <c r="C28" s="25" t="s">
        <v>44</v>
      </c>
      <c r="D28" s="54" t="s">
        <v>4260</v>
      </c>
      <c r="E28" s="12" t="s">
        <v>0</v>
      </c>
      <c r="F28" s="18">
        <v>3044835.68</v>
      </c>
      <c r="G28" s="12" t="s">
        <v>1428</v>
      </c>
      <c r="H28" s="25" t="s">
        <v>146</v>
      </c>
      <c r="I28" s="28">
        <v>42976</v>
      </c>
      <c r="J28" s="18">
        <v>0</v>
      </c>
    </row>
    <row r="29" spans="1:10" ht="51" x14ac:dyDescent="0.2">
      <c r="A29" s="54">
        <v>23</v>
      </c>
      <c r="B29" s="12" t="s">
        <v>1380</v>
      </c>
      <c r="C29" s="25" t="s">
        <v>44</v>
      </c>
      <c r="D29" s="54" t="s">
        <v>4263</v>
      </c>
      <c r="E29" s="12" t="s">
        <v>0</v>
      </c>
      <c r="F29" s="18">
        <v>1428000</v>
      </c>
      <c r="G29" s="12" t="s">
        <v>1429</v>
      </c>
      <c r="H29" s="25" t="s">
        <v>49</v>
      </c>
      <c r="I29" s="28">
        <v>42976</v>
      </c>
      <c r="J29" s="18">
        <v>0</v>
      </c>
    </row>
    <row r="30" spans="1:10" ht="51" x14ac:dyDescent="0.2">
      <c r="A30" s="54">
        <v>24</v>
      </c>
      <c r="B30" s="12" t="s">
        <v>1381</v>
      </c>
      <c r="C30" s="25" t="s">
        <v>44</v>
      </c>
      <c r="D30" s="54" t="s">
        <v>4263</v>
      </c>
      <c r="E30" s="12" t="s">
        <v>0</v>
      </c>
      <c r="F30" s="18">
        <v>5869500</v>
      </c>
      <c r="G30" s="12" t="s">
        <v>1430</v>
      </c>
      <c r="H30" s="25" t="s">
        <v>49</v>
      </c>
      <c r="I30" s="28">
        <v>42976</v>
      </c>
      <c r="J30" s="18">
        <v>0</v>
      </c>
    </row>
    <row r="31" spans="1:10" ht="51" x14ac:dyDescent="0.2">
      <c r="A31" s="54">
        <v>25</v>
      </c>
      <c r="B31" s="12" t="s">
        <v>1382</v>
      </c>
      <c r="C31" s="25" t="s">
        <v>44</v>
      </c>
      <c r="D31" s="54" t="s">
        <v>4263</v>
      </c>
      <c r="E31" s="12" t="s">
        <v>0</v>
      </c>
      <c r="F31" s="18">
        <v>1772589</v>
      </c>
      <c r="G31" s="12" t="s">
        <v>1431</v>
      </c>
      <c r="H31" s="25" t="s">
        <v>49</v>
      </c>
      <c r="I31" s="28">
        <v>42976</v>
      </c>
      <c r="J31" s="18">
        <v>0</v>
      </c>
    </row>
    <row r="32" spans="1:10" ht="51" x14ac:dyDescent="0.2">
      <c r="A32" s="54">
        <v>26</v>
      </c>
      <c r="B32" s="12" t="s">
        <v>1379</v>
      </c>
      <c r="C32" s="25" t="s">
        <v>44</v>
      </c>
      <c r="D32" s="54" t="s">
        <v>4262</v>
      </c>
      <c r="E32" s="12" t="s">
        <v>0</v>
      </c>
      <c r="F32" s="18">
        <v>5058851.3899999997</v>
      </c>
      <c r="G32" s="12" t="s">
        <v>1432</v>
      </c>
      <c r="H32" s="25" t="s">
        <v>49</v>
      </c>
      <c r="I32" s="28">
        <v>42976</v>
      </c>
      <c r="J32" s="18">
        <v>0</v>
      </c>
    </row>
    <row r="33" spans="1:10" ht="51" x14ac:dyDescent="0.2">
      <c r="A33" s="54">
        <v>27</v>
      </c>
      <c r="B33" s="12" t="s">
        <v>1380</v>
      </c>
      <c r="C33" s="25" t="s">
        <v>44</v>
      </c>
      <c r="D33" s="54" t="s">
        <v>4263</v>
      </c>
      <c r="E33" s="12" t="s">
        <v>0</v>
      </c>
      <c r="F33" s="18">
        <v>1344000</v>
      </c>
      <c r="G33" s="12" t="s">
        <v>1434</v>
      </c>
      <c r="H33" s="25" t="s">
        <v>1433</v>
      </c>
      <c r="I33" s="28">
        <v>42976</v>
      </c>
      <c r="J33" s="18">
        <v>0</v>
      </c>
    </row>
    <row r="34" spans="1:10" ht="51" x14ac:dyDescent="0.2">
      <c r="A34" s="54">
        <v>28</v>
      </c>
      <c r="B34" s="12" t="s">
        <v>1381</v>
      </c>
      <c r="C34" s="25" t="s">
        <v>44</v>
      </c>
      <c r="D34" s="54" t="s">
        <v>4263</v>
      </c>
      <c r="E34" s="12" t="s">
        <v>0</v>
      </c>
      <c r="F34" s="18">
        <v>5528250</v>
      </c>
      <c r="G34" s="12" t="s">
        <v>1435</v>
      </c>
      <c r="H34" s="25" t="s">
        <v>1433</v>
      </c>
      <c r="I34" s="28">
        <v>42976</v>
      </c>
      <c r="J34" s="18">
        <v>0</v>
      </c>
    </row>
    <row r="35" spans="1:10" ht="51" x14ac:dyDescent="0.2">
      <c r="A35" s="54">
        <v>29</v>
      </c>
      <c r="B35" s="12" t="s">
        <v>1380</v>
      </c>
      <c r="C35" s="25" t="s">
        <v>44</v>
      </c>
      <c r="D35" s="54" t="s">
        <v>4263</v>
      </c>
      <c r="E35" s="12" t="s">
        <v>0</v>
      </c>
      <c r="F35" s="18">
        <v>726600</v>
      </c>
      <c r="G35" s="12" t="s">
        <v>1476</v>
      </c>
      <c r="H35" s="25" t="s">
        <v>148</v>
      </c>
      <c r="I35" s="28">
        <v>42976</v>
      </c>
      <c r="J35" s="18">
        <v>0</v>
      </c>
    </row>
    <row r="36" spans="1:10" ht="51" x14ac:dyDescent="0.2">
      <c r="A36" s="54">
        <v>30</v>
      </c>
      <c r="B36" s="12" t="s">
        <v>1381</v>
      </c>
      <c r="C36" s="25" t="s">
        <v>44</v>
      </c>
      <c r="D36" s="54" t="s">
        <v>4263</v>
      </c>
      <c r="E36" s="12" t="s">
        <v>0</v>
      </c>
      <c r="F36" s="18">
        <v>1328145</v>
      </c>
      <c r="G36" s="12" t="s">
        <v>1477</v>
      </c>
      <c r="H36" s="25" t="s">
        <v>148</v>
      </c>
      <c r="I36" s="28">
        <v>42976</v>
      </c>
      <c r="J36" s="18">
        <v>0</v>
      </c>
    </row>
    <row r="37" spans="1:10" s="6" customFormat="1" ht="63.75" x14ac:dyDescent="0.2">
      <c r="A37" s="54">
        <v>31</v>
      </c>
      <c r="B37" s="40" t="s">
        <v>1586</v>
      </c>
      <c r="C37" s="40" t="s">
        <v>44</v>
      </c>
      <c r="D37" s="104" t="s">
        <v>4264</v>
      </c>
      <c r="E37" s="104" t="s">
        <v>1524</v>
      </c>
      <c r="F37" s="114">
        <f>1599937*1.05</f>
        <v>1679933.85</v>
      </c>
      <c r="G37" s="104" t="s">
        <v>1587</v>
      </c>
      <c r="H37" s="40" t="s">
        <v>45</v>
      </c>
      <c r="I37" s="40" t="s">
        <v>1590</v>
      </c>
      <c r="J37" s="114">
        <v>0</v>
      </c>
    </row>
    <row r="38" spans="1:10" s="6" customFormat="1" ht="63.75" x14ac:dyDescent="0.2">
      <c r="A38" s="54">
        <v>32</v>
      </c>
      <c r="B38" s="40" t="s">
        <v>1588</v>
      </c>
      <c r="C38" s="40" t="s">
        <v>44</v>
      </c>
      <c r="D38" s="104" t="s">
        <v>4264</v>
      </c>
      <c r="E38" s="104" t="s">
        <v>1524</v>
      </c>
      <c r="F38" s="114">
        <f>12343121.72*1.05</f>
        <v>12960277.806000002</v>
      </c>
      <c r="G38" s="104" t="s">
        <v>1589</v>
      </c>
      <c r="H38" s="40" t="s">
        <v>45</v>
      </c>
      <c r="I38" s="40" t="s">
        <v>1590</v>
      </c>
      <c r="J38" s="114">
        <v>0</v>
      </c>
    </row>
    <row r="39" spans="1:10" s="6" customFormat="1" ht="63.75" x14ac:dyDescent="0.2">
      <c r="A39" s="54">
        <v>33</v>
      </c>
      <c r="B39" s="40" t="s">
        <v>1792</v>
      </c>
      <c r="C39" s="40" t="s">
        <v>44</v>
      </c>
      <c r="D39" s="104" t="s">
        <v>4264</v>
      </c>
      <c r="E39" s="104" t="s">
        <v>1524</v>
      </c>
      <c r="F39" s="114">
        <v>2314806.87</v>
      </c>
      <c r="G39" s="104" t="s">
        <v>1793</v>
      </c>
      <c r="H39" s="40" t="s">
        <v>41</v>
      </c>
      <c r="I39" s="40" t="s">
        <v>1755</v>
      </c>
      <c r="J39" s="114">
        <v>0</v>
      </c>
    </row>
    <row r="40" spans="1:10" ht="51" x14ac:dyDescent="0.2">
      <c r="A40" s="54">
        <v>34</v>
      </c>
      <c r="B40" s="12" t="s">
        <v>1833</v>
      </c>
      <c r="C40" s="25" t="s">
        <v>44</v>
      </c>
      <c r="D40" s="54" t="s">
        <v>4265</v>
      </c>
      <c r="E40" s="12" t="s">
        <v>0</v>
      </c>
      <c r="F40" s="18">
        <v>17461421.690000001</v>
      </c>
      <c r="G40" s="12" t="s">
        <v>1834</v>
      </c>
      <c r="H40" s="25" t="s">
        <v>45</v>
      </c>
      <c r="I40" s="25" t="s">
        <v>1401</v>
      </c>
      <c r="J40" s="18">
        <v>0</v>
      </c>
    </row>
    <row r="41" spans="1:10" ht="51" x14ac:dyDescent="0.2">
      <c r="A41" s="54">
        <v>35</v>
      </c>
      <c r="B41" s="12" t="s">
        <v>1833</v>
      </c>
      <c r="C41" s="25" t="s">
        <v>44</v>
      </c>
      <c r="D41" s="54" t="s">
        <v>4265</v>
      </c>
      <c r="E41" s="12" t="s">
        <v>0</v>
      </c>
      <c r="F41" s="18">
        <f>16629878.24*1.05</f>
        <v>17461372.152000003</v>
      </c>
      <c r="G41" s="12" t="s">
        <v>1835</v>
      </c>
      <c r="H41" s="25" t="s">
        <v>41</v>
      </c>
      <c r="I41" s="25" t="s">
        <v>1401</v>
      </c>
      <c r="J41" s="18">
        <v>0</v>
      </c>
    </row>
    <row r="42" spans="1:10" ht="51" x14ac:dyDescent="0.2">
      <c r="A42" s="54">
        <v>36</v>
      </c>
      <c r="B42" s="12" t="s">
        <v>1833</v>
      </c>
      <c r="C42" s="25" t="s">
        <v>44</v>
      </c>
      <c r="D42" s="54" t="s">
        <v>4265</v>
      </c>
      <c r="E42" s="12" t="s">
        <v>0</v>
      </c>
      <c r="F42" s="18">
        <v>17459368.859999999</v>
      </c>
      <c r="G42" s="12" t="s">
        <v>1836</v>
      </c>
      <c r="H42" s="25" t="s">
        <v>49</v>
      </c>
      <c r="I42" s="25" t="s">
        <v>1401</v>
      </c>
      <c r="J42" s="18">
        <v>0</v>
      </c>
    </row>
    <row r="43" spans="1:10" s="6" customFormat="1" ht="63.75" x14ac:dyDescent="0.2">
      <c r="A43" s="54">
        <v>37</v>
      </c>
      <c r="B43" s="104" t="s">
        <v>1837</v>
      </c>
      <c r="C43" s="40" t="s">
        <v>44</v>
      </c>
      <c r="D43" s="40" t="s">
        <v>4266</v>
      </c>
      <c r="E43" s="104" t="s">
        <v>1524</v>
      </c>
      <c r="F43" s="114">
        <f>801076.5</f>
        <v>801076.5</v>
      </c>
      <c r="G43" s="104" t="s">
        <v>1838</v>
      </c>
      <c r="H43" s="40" t="s">
        <v>41</v>
      </c>
      <c r="I43" s="40" t="s">
        <v>1839</v>
      </c>
      <c r="J43" s="114">
        <v>0</v>
      </c>
    </row>
    <row r="44" spans="1:10" s="6" customFormat="1" ht="63.75" x14ac:dyDescent="0.2">
      <c r="A44" s="54">
        <v>38</v>
      </c>
      <c r="B44" s="40" t="s">
        <v>1840</v>
      </c>
      <c r="C44" s="40" t="s">
        <v>44</v>
      </c>
      <c r="D44" s="104" t="s">
        <v>4264</v>
      </c>
      <c r="E44" s="104" t="s">
        <v>1524</v>
      </c>
      <c r="F44" s="114">
        <f>33725724.45*1.05</f>
        <v>35412010.672500007</v>
      </c>
      <c r="G44" s="104" t="s">
        <v>1841</v>
      </c>
      <c r="H44" s="40" t="s">
        <v>131</v>
      </c>
      <c r="I44" s="40" t="s">
        <v>1590</v>
      </c>
      <c r="J44" s="114">
        <v>258264.93</v>
      </c>
    </row>
    <row r="45" spans="1:10" s="6" customFormat="1" ht="63.75" x14ac:dyDescent="0.2">
      <c r="A45" s="54">
        <v>39</v>
      </c>
      <c r="B45" s="40" t="s">
        <v>1842</v>
      </c>
      <c r="C45" s="40" t="s">
        <v>44</v>
      </c>
      <c r="D45" s="104" t="s">
        <v>4264</v>
      </c>
      <c r="E45" s="104" t="s">
        <v>1524</v>
      </c>
      <c r="F45" s="114">
        <f>3672422.78*1.05</f>
        <v>3856043.9189999998</v>
      </c>
      <c r="G45" s="104" t="s">
        <v>1843</v>
      </c>
      <c r="H45" s="40" t="s">
        <v>45</v>
      </c>
      <c r="I45" s="40" t="s">
        <v>1844</v>
      </c>
      <c r="J45" s="114">
        <v>0</v>
      </c>
    </row>
    <row r="46" spans="1:10" s="6" customFormat="1" ht="63.75" x14ac:dyDescent="0.2">
      <c r="A46" s="54">
        <v>40</v>
      </c>
      <c r="B46" s="40" t="s">
        <v>1923</v>
      </c>
      <c r="C46" s="40" t="s">
        <v>44</v>
      </c>
      <c r="D46" s="104" t="s">
        <v>4264</v>
      </c>
      <c r="E46" s="104" t="s">
        <v>1524</v>
      </c>
      <c r="F46" s="114">
        <v>1018237.5</v>
      </c>
      <c r="G46" s="104" t="s">
        <v>1924</v>
      </c>
      <c r="H46" s="40" t="s">
        <v>146</v>
      </c>
      <c r="I46" s="40" t="s">
        <v>1839</v>
      </c>
      <c r="J46" s="114">
        <v>0</v>
      </c>
    </row>
    <row r="47" spans="1:10" s="6" customFormat="1" ht="63.75" x14ac:dyDescent="0.2">
      <c r="A47" s="54">
        <v>41</v>
      </c>
      <c r="B47" s="40" t="s">
        <v>1937</v>
      </c>
      <c r="C47" s="40" t="s">
        <v>44</v>
      </c>
      <c r="D47" s="104" t="s">
        <v>4264</v>
      </c>
      <c r="E47" s="104" t="s">
        <v>1524</v>
      </c>
      <c r="F47" s="114">
        <v>2753711.39</v>
      </c>
      <c r="G47" s="104" t="s">
        <v>1938</v>
      </c>
      <c r="H47" s="40" t="s">
        <v>45</v>
      </c>
      <c r="I47" s="40" t="s">
        <v>1939</v>
      </c>
      <c r="J47" s="114">
        <v>0</v>
      </c>
    </row>
    <row r="48" spans="1:10" s="6" customFormat="1" ht="63.75" x14ac:dyDescent="0.2">
      <c r="A48" s="54">
        <v>42</v>
      </c>
      <c r="B48" s="40" t="s">
        <v>2321</v>
      </c>
      <c r="C48" s="40" t="s">
        <v>44</v>
      </c>
      <c r="D48" s="104" t="s">
        <v>4264</v>
      </c>
      <c r="E48" s="104" t="s">
        <v>1524</v>
      </c>
      <c r="F48" s="114">
        <f>117000*1.05</f>
        <v>122850</v>
      </c>
      <c r="G48" s="104" t="s">
        <v>2322</v>
      </c>
      <c r="H48" s="40" t="s">
        <v>146</v>
      </c>
      <c r="I48" s="40" t="s">
        <v>2323</v>
      </c>
      <c r="J48" s="114">
        <v>0</v>
      </c>
    </row>
    <row r="49" spans="1:11" s="6" customFormat="1" ht="63.75" x14ac:dyDescent="0.2">
      <c r="A49" s="54">
        <v>43</v>
      </c>
      <c r="B49" s="40" t="s">
        <v>2324</v>
      </c>
      <c r="C49" s="40" t="s">
        <v>44</v>
      </c>
      <c r="D49" s="104" t="s">
        <v>4264</v>
      </c>
      <c r="E49" s="104" t="s">
        <v>1524</v>
      </c>
      <c r="F49" s="114">
        <f>1364543.4*1.05</f>
        <v>1432770.57</v>
      </c>
      <c r="G49" s="104" t="s">
        <v>2325</v>
      </c>
      <c r="H49" s="40" t="s">
        <v>146</v>
      </c>
      <c r="I49" s="40" t="s">
        <v>2326</v>
      </c>
      <c r="J49" s="114">
        <v>0</v>
      </c>
    </row>
    <row r="50" spans="1:11" s="6" customFormat="1" ht="63.75" x14ac:dyDescent="0.2">
      <c r="A50" s="54">
        <v>44</v>
      </c>
      <c r="B50" s="40" t="s">
        <v>2365</v>
      </c>
      <c r="C50" s="40" t="s">
        <v>44</v>
      </c>
      <c r="D50" s="104" t="s">
        <v>4264</v>
      </c>
      <c r="E50" s="104" t="s">
        <v>1524</v>
      </c>
      <c r="F50" s="114">
        <f>497500*1.05</f>
        <v>522375</v>
      </c>
      <c r="G50" s="104" t="s">
        <v>2366</v>
      </c>
      <c r="H50" s="40" t="s">
        <v>41</v>
      </c>
      <c r="I50" s="40" t="s">
        <v>2367</v>
      </c>
      <c r="J50" s="114">
        <v>0</v>
      </c>
    </row>
    <row r="51" spans="1:11" s="6" customFormat="1" ht="63.75" x14ac:dyDescent="0.2">
      <c r="A51" s="54">
        <v>45</v>
      </c>
      <c r="B51" s="40" t="s">
        <v>2756</v>
      </c>
      <c r="C51" s="40" t="s">
        <v>44</v>
      </c>
      <c r="D51" s="104" t="s">
        <v>4264</v>
      </c>
      <c r="E51" s="104" t="s">
        <v>1524</v>
      </c>
      <c r="F51" s="114">
        <v>8541919.8800000008</v>
      </c>
      <c r="G51" s="104" t="s">
        <v>2757</v>
      </c>
      <c r="H51" s="40" t="s">
        <v>41</v>
      </c>
      <c r="I51" s="115">
        <v>42868</v>
      </c>
      <c r="J51" s="114">
        <v>0</v>
      </c>
    </row>
    <row r="52" spans="1:11" ht="51" x14ac:dyDescent="0.2">
      <c r="A52" s="54">
        <v>46</v>
      </c>
      <c r="B52" s="98" t="s">
        <v>2780</v>
      </c>
      <c r="C52" s="25" t="s">
        <v>44</v>
      </c>
      <c r="D52" s="25" t="s">
        <v>4267</v>
      </c>
      <c r="E52" s="98" t="s">
        <v>0</v>
      </c>
      <c r="F52" s="18">
        <v>4965995.18</v>
      </c>
      <c r="G52" s="98" t="s">
        <v>2781</v>
      </c>
      <c r="H52" s="25" t="s">
        <v>41</v>
      </c>
      <c r="I52" s="25" t="s">
        <v>2642</v>
      </c>
      <c r="J52" s="18">
        <v>0</v>
      </c>
    </row>
    <row r="53" spans="1:11" ht="51" x14ac:dyDescent="0.2">
      <c r="A53" s="54">
        <v>47</v>
      </c>
      <c r="B53" s="101" t="s">
        <v>2981</v>
      </c>
      <c r="C53" s="25" t="s">
        <v>44</v>
      </c>
      <c r="D53" s="25" t="s">
        <v>4268</v>
      </c>
      <c r="E53" s="101" t="s">
        <v>0</v>
      </c>
      <c r="F53" s="18">
        <v>1364424.66</v>
      </c>
      <c r="G53" s="101" t="s">
        <v>2982</v>
      </c>
      <c r="H53" s="25" t="s">
        <v>49</v>
      </c>
      <c r="I53" s="25" t="s">
        <v>2983</v>
      </c>
      <c r="J53" s="18">
        <v>0</v>
      </c>
    </row>
    <row r="54" spans="1:11" ht="51" x14ac:dyDescent="0.2">
      <c r="A54" s="54">
        <v>48</v>
      </c>
      <c r="B54" s="101" t="s">
        <v>2981</v>
      </c>
      <c r="C54" s="25" t="s">
        <v>44</v>
      </c>
      <c r="D54" s="25" t="s">
        <v>4268</v>
      </c>
      <c r="E54" s="101" t="s">
        <v>0</v>
      </c>
      <c r="F54" s="18">
        <v>1364577.8</v>
      </c>
      <c r="G54" s="101" t="s">
        <v>3008</v>
      </c>
      <c r="H54" s="25" t="s">
        <v>45</v>
      </c>
      <c r="I54" s="25" t="s">
        <v>2983</v>
      </c>
      <c r="J54" s="18">
        <v>0</v>
      </c>
    </row>
    <row r="55" spans="1:11" ht="51" x14ac:dyDescent="0.2">
      <c r="A55" s="54">
        <v>49</v>
      </c>
      <c r="B55" s="101" t="s">
        <v>3009</v>
      </c>
      <c r="C55" s="25" t="s">
        <v>44</v>
      </c>
      <c r="D55" s="25" t="s">
        <v>4269</v>
      </c>
      <c r="E55" s="101" t="s">
        <v>0</v>
      </c>
      <c r="F55" s="18">
        <v>2728387.49</v>
      </c>
      <c r="G55" s="101" t="s">
        <v>3010</v>
      </c>
      <c r="H55" s="25" t="s">
        <v>45</v>
      </c>
      <c r="I55" s="25" t="s">
        <v>2800</v>
      </c>
      <c r="J55" s="18">
        <v>0</v>
      </c>
    </row>
    <row r="56" spans="1:11" ht="51" x14ac:dyDescent="0.2">
      <c r="A56" s="54">
        <v>50</v>
      </c>
      <c r="B56" s="101" t="s">
        <v>3009</v>
      </c>
      <c r="C56" s="25" t="s">
        <v>44</v>
      </c>
      <c r="D56" s="25" t="s">
        <v>4269</v>
      </c>
      <c r="E56" s="101" t="s">
        <v>0</v>
      </c>
      <c r="F56" s="18">
        <v>2729981.39</v>
      </c>
      <c r="G56" s="101" t="s">
        <v>3019</v>
      </c>
      <c r="H56" s="25" t="s">
        <v>49</v>
      </c>
      <c r="I56" s="25" t="s">
        <v>2800</v>
      </c>
      <c r="J56" s="18">
        <v>0</v>
      </c>
    </row>
    <row r="57" spans="1:11" ht="51" x14ac:dyDescent="0.2">
      <c r="A57" s="54">
        <v>51</v>
      </c>
      <c r="B57" s="101" t="s">
        <v>3020</v>
      </c>
      <c r="C57" s="25" t="s">
        <v>44</v>
      </c>
      <c r="D57" s="25" t="s">
        <v>4269</v>
      </c>
      <c r="E57" s="101" t="s">
        <v>0</v>
      </c>
      <c r="F57" s="18">
        <v>27712341.030000001</v>
      </c>
      <c r="G57" s="101" t="s">
        <v>3021</v>
      </c>
      <c r="H57" s="25" t="s">
        <v>49</v>
      </c>
      <c r="I57" s="25" t="s">
        <v>2800</v>
      </c>
      <c r="J57" s="18">
        <v>0</v>
      </c>
    </row>
    <row r="58" spans="1:11" ht="51" x14ac:dyDescent="0.2">
      <c r="A58" s="54">
        <v>52</v>
      </c>
      <c r="B58" s="101" t="s">
        <v>2981</v>
      </c>
      <c r="C58" s="25" t="s">
        <v>44</v>
      </c>
      <c r="D58" s="25" t="s">
        <v>4268</v>
      </c>
      <c r="E58" s="101" t="s">
        <v>0</v>
      </c>
      <c r="F58" s="18">
        <v>1364999.52</v>
      </c>
      <c r="G58" s="101" t="s">
        <v>3034</v>
      </c>
      <c r="H58" s="25" t="s">
        <v>146</v>
      </c>
      <c r="I58" s="25" t="s">
        <v>2983</v>
      </c>
      <c r="J58" s="18">
        <v>0</v>
      </c>
    </row>
    <row r="59" spans="1:11" ht="51" x14ac:dyDescent="0.2">
      <c r="A59" s="54">
        <v>53</v>
      </c>
      <c r="B59" s="101" t="s">
        <v>2981</v>
      </c>
      <c r="C59" s="25" t="s">
        <v>44</v>
      </c>
      <c r="D59" s="25" t="s">
        <v>4268</v>
      </c>
      <c r="E59" s="101" t="s">
        <v>0</v>
      </c>
      <c r="F59" s="18">
        <v>1308449.81</v>
      </c>
      <c r="G59" s="101" t="s">
        <v>3066</v>
      </c>
      <c r="H59" s="25" t="s">
        <v>41</v>
      </c>
      <c r="I59" s="25" t="s">
        <v>2983</v>
      </c>
      <c r="J59" s="18">
        <v>0</v>
      </c>
    </row>
    <row r="60" spans="1:11" ht="51" x14ac:dyDescent="0.2">
      <c r="A60" s="54">
        <v>54</v>
      </c>
      <c r="B60" s="101" t="s">
        <v>3110</v>
      </c>
      <c r="C60" s="25" t="s">
        <v>44</v>
      </c>
      <c r="D60" s="25" t="s">
        <v>4241</v>
      </c>
      <c r="E60" s="101" t="s">
        <v>0</v>
      </c>
      <c r="F60" s="18">
        <v>28114709.210000001</v>
      </c>
      <c r="G60" s="101" t="s">
        <v>3112</v>
      </c>
      <c r="H60" s="25" t="s">
        <v>49</v>
      </c>
      <c r="I60" s="25" t="s">
        <v>3111</v>
      </c>
      <c r="J60" s="18">
        <v>0</v>
      </c>
    </row>
    <row r="61" spans="1:11" ht="51" x14ac:dyDescent="0.2">
      <c r="A61" s="54">
        <v>55</v>
      </c>
      <c r="B61" s="101" t="s">
        <v>3110</v>
      </c>
      <c r="C61" s="25" t="s">
        <v>44</v>
      </c>
      <c r="D61" s="25" t="s">
        <v>4241</v>
      </c>
      <c r="E61" s="101" t="s">
        <v>0</v>
      </c>
      <c r="F61" s="18">
        <v>28114767.18</v>
      </c>
      <c r="G61" s="101" t="s">
        <v>3139</v>
      </c>
      <c r="H61" s="25" t="s">
        <v>45</v>
      </c>
      <c r="I61" s="25" t="s">
        <v>3111</v>
      </c>
      <c r="J61" s="18">
        <v>0</v>
      </c>
    </row>
    <row r="62" spans="1:11" ht="51" x14ac:dyDescent="0.2">
      <c r="A62" s="54">
        <v>56</v>
      </c>
      <c r="B62" s="101" t="s">
        <v>3298</v>
      </c>
      <c r="C62" s="25" t="s">
        <v>44</v>
      </c>
      <c r="D62" s="25" t="s">
        <v>3343</v>
      </c>
      <c r="E62" s="101" t="s">
        <v>0</v>
      </c>
      <c r="F62" s="18">
        <v>5165697.5999999996</v>
      </c>
      <c r="G62" s="101" t="s">
        <v>3299</v>
      </c>
      <c r="H62" s="25" t="s">
        <v>45</v>
      </c>
      <c r="I62" s="25" t="s">
        <v>3111</v>
      </c>
      <c r="J62" s="18">
        <v>0</v>
      </c>
    </row>
    <row r="63" spans="1:11" ht="51" x14ac:dyDescent="0.2">
      <c r="A63" s="54">
        <v>57</v>
      </c>
      <c r="B63" s="101" t="s">
        <v>3300</v>
      </c>
      <c r="C63" s="25" t="s">
        <v>3303</v>
      </c>
      <c r="D63" s="25" t="s">
        <v>3304</v>
      </c>
      <c r="E63" s="101" t="s">
        <v>0</v>
      </c>
      <c r="F63" s="18">
        <v>4756140.95</v>
      </c>
      <c r="G63" s="101" t="s">
        <v>3302</v>
      </c>
      <c r="H63" s="25" t="s">
        <v>45</v>
      </c>
      <c r="I63" s="25" t="s">
        <v>3301</v>
      </c>
      <c r="J63" s="18">
        <v>0</v>
      </c>
      <c r="K63" s="7"/>
    </row>
    <row r="64" spans="1:11" s="6" customFormat="1" ht="63.75" x14ac:dyDescent="0.2">
      <c r="A64" s="54">
        <v>58</v>
      </c>
      <c r="B64" s="104" t="s">
        <v>3337</v>
      </c>
      <c r="C64" s="40" t="s">
        <v>44</v>
      </c>
      <c r="D64" s="104" t="s">
        <v>4264</v>
      </c>
      <c r="E64" s="104" t="s">
        <v>1524</v>
      </c>
      <c r="F64" s="114">
        <v>2482997.59</v>
      </c>
      <c r="G64" s="104" t="s">
        <v>3338</v>
      </c>
      <c r="H64" s="40" t="s">
        <v>41</v>
      </c>
      <c r="I64" s="40" t="s">
        <v>3339</v>
      </c>
      <c r="J64" s="114">
        <v>0</v>
      </c>
      <c r="K64" s="122"/>
    </row>
    <row r="65" spans="1:11" ht="51" x14ac:dyDescent="0.2">
      <c r="A65" s="54">
        <v>59</v>
      </c>
      <c r="B65" s="101" t="s">
        <v>3110</v>
      </c>
      <c r="C65" s="25" t="s">
        <v>44</v>
      </c>
      <c r="D65" s="25" t="s">
        <v>3340</v>
      </c>
      <c r="E65" s="101" t="s">
        <v>0</v>
      </c>
      <c r="F65" s="18">
        <v>28114745.719999999</v>
      </c>
      <c r="G65" s="101" t="s">
        <v>3341</v>
      </c>
      <c r="H65" s="25" t="s">
        <v>41</v>
      </c>
      <c r="I65" s="25" t="s">
        <v>3111</v>
      </c>
      <c r="J65" s="18">
        <v>0</v>
      </c>
      <c r="K65" s="7"/>
    </row>
    <row r="66" spans="1:11" ht="51" x14ac:dyDescent="0.2">
      <c r="A66" s="54">
        <v>60</v>
      </c>
      <c r="B66" s="101" t="s">
        <v>3298</v>
      </c>
      <c r="C66" s="25" t="s">
        <v>44</v>
      </c>
      <c r="D66" s="25" t="s">
        <v>3343</v>
      </c>
      <c r="E66" s="101" t="s">
        <v>0</v>
      </c>
      <c r="F66" s="18">
        <v>5165955.46</v>
      </c>
      <c r="G66" s="101" t="s">
        <v>3342</v>
      </c>
      <c r="H66" s="25" t="s">
        <v>41</v>
      </c>
      <c r="I66" s="25" t="s">
        <v>3111</v>
      </c>
      <c r="J66" s="18">
        <v>0</v>
      </c>
      <c r="K66" s="7"/>
    </row>
    <row r="67" spans="1:11" s="6" customFormat="1" ht="63.75" x14ac:dyDescent="0.2">
      <c r="A67" s="54">
        <v>61</v>
      </c>
      <c r="B67" s="104" t="s">
        <v>3456</v>
      </c>
      <c r="C67" s="40" t="s">
        <v>44</v>
      </c>
      <c r="D67" s="104" t="s">
        <v>4264</v>
      </c>
      <c r="E67" s="104" t="s">
        <v>1524</v>
      </c>
      <c r="F67" s="114">
        <v>13856170.51</v>
      </c>
      <c r="G67" s="104" t="s">
        <v>3457</v>
      </c>
      <c r="H67" s="40" t="s">
        <v>49</v>
      </c>
      <c r="I67" s="40" t="s">
        <v>3458</v>
      </c>
      <c r="J67" s="114">
        <v>0</v>
      </c>
    </row>
    <row r="68" spans="1:11" ht="51" x14ac:dyDescent="0.2">
      <c r="A68" s="54">
        <v>62</v>
      </c>
      <c r="B68" s="101" t="s">
        <v>3298</v>
      </c>
      <c r="C68" s="25" t="s">
        <v>44</v>
      </c>
      <c r="D68" s="25" t="s">
        <v>3343</v>
      </c>
      <c r="E68" s="101" t="s">
        <v>0</v>
      </c>
      <c r="F68" s="18">
        <v>5165927.82</v>
      </c>
      <c r="G68" s="101" t="s">
        <v>3509</v>
      </c>
      <c r="H68" s="25" t="s">
        <v>146</v>
      </c>
      <c r="I68" s="25" t="s">
        <v>3111</v>
      </c>
      <c r="J68" s="18">
        <v>0</v>
      </c>
      <c r="K68" s="7"/>
    </row>
    <row r="69" spans="1:11" s="6" customFormat="1" ht="63.75" x14ac:dyDescent="0.2">
      <c r="A69" s="54">
        <v>63</v>
      </c>
      <c r="B69" s="104" t="s">
        <v>3600</v>
      </c>
      <c r="C69" s="40" t="s">
        <v>44</v>
      </c>
      <c r="D69" s="104" t="s">
        <v>4264</v>
      </c>
      <c r="E69" s="104" t="s">
        <v>1524</v>
      </c>
      <c r="F69" s="114">
        <f>1257652.02*1.05</f>
        <v>1320534.621</v>
      </c>
      <c r="G69" s="104" t="s">
        <v>3601</v>
      </c>
      <c r="H69" s="40" t="s">
        <v>45</v>
      </c>
      <c r="I69" s="40" t="s">
        <v>3458</v>
      </c>
      <c r="J69" s="114">
        <v>0</v>
      </c>
    </row>
    <row r="70" spans="1:11" ht="51" x14ac:dyDescent="0.2">
      <c r="A70" s="54">
        <v>64</v>
      </c>
      <c r="B70" s="101" t="s">
        <v>3672</v>
      </c>
      <c r="C70" s="25" t="s">
        <v>44</v>
      </c>
      <c r="D70" s="25" t="s">
        <v>3673</v>
      </c>
      <c r="E70" s="101" t="s">
        <v>0</v>
      </c>
      <c r="F70" s="18">
        <f>29769077.73*1.05</f>
        <v>31257531.616500001</v>
      </c>
      <c r="G70" s="101" t="s">
        <v>3668</v>
      </c>
      <c r="H70" s="25" t="s">
        <v>49</v>
      </c>
      <c r="I70" s="25" t="s">
        <v>2931</v>
      </c>
      <c r="J70" s="18">
        <v>0</v>
      </c>
      <c r="K70" s="7"/>
    </row>
    <row r="71" spans="1:11" ht="51" x14ac:dyDescent="0.2">
      <c r="A71" s="54">
        <v>65</v>
      </c>
      <c r="B71" s="101" t="s">
        <v>3672</v>
      </c>
      <c r="C71" s="25" t="s">
        <v>44</v>
      </c>
      <c r="D71" s="25" t="s">
        <v>3673</v>
      </c>
      <c r="E71" s="101" t="s">
        <v>0</v>
      </c>
      <c r="F71" s="18">
        <f>29767363.41*1.05</f>
        <v>31255731.580500003</v>
      </c>
      <c r="G71" s="101" t="s">
        <v>3669</v>
      </c>
      <c r="H71" s="25" t="s">
        <v>45</v>
      </c>
      <c r="I71" s="25" t="s">
        <v>2931</v>
      </c>
      <c r="J71" s="18">
        <v>0</v>
      </c>
      <c r="K71" s="7"/>
    </row>
    <row r="72" spans="1:11" ht="51" x14ac:dyDescent="0.2">
      <c r="A72" s="54">
        <v>66</v>
      </c>
      <c r="B72" s="101" t="s">
        <v>3674</v>
      </c>
      <c r="C72" s="25" t="s">
        <v>44</v>
      </c>
      <c r="D72" s="25" t="s">
        <v>3676</v>
      </c>
      <c r="E72" s="101" t="s">
        <v>0</v>
      </c>
      <c r="F72" s="18">
        <v>24840089.73</v>
      </c>
      <c r="G72" s="101" t="s">
        <v>3675</v>
      </c>
      <c r="H72" s="25" t="s">
        <v>45</v>
      </c>
      <c r="I72" s="25" t="s">
        <v>2931</v>
      </c>
      <c r="J72" s="18">
        <v>0</v>
      </c>
      <c r="K72" s="7"/>
    </row>
    <row r="73" spans="1:11" s="6" customFormat="1" ht="63.75" x14ac:dyDescent="0.2">
      <c r="A73" s="54">
        <v>67</v>
      </c>
      <c r="B73" s="104" t="s">
        <v>3677</v>
      </c>
      <c r="C73" s="40" t="s">
        <v>44</v>
      </c>
      <c r="D73" s="104" t="s">
        <v>4264</v>
      </c>
      <c r="E73" s="104" t="s">
        <v>1524</v>
      </c>
      <c r="F73" s="114">
        <v>652232.54</v>
      </c>
      <c r="G73" s="104" t="s">
        <v>3678</v>
      </c>
      <c r="H73" s="40" t="s">
        <v>45</v>
      </c>
      <c r="I73" s="40" t="s">
        <v>3679</v>
      </c>
      <c r="J73" s="114">
        <v>0</v>
      </c>
    </row>
    <row r="74" spans="1:11" ht="51" x14ac:dyDescent="0.2">
      <c r="A74" s="54">
        <v>68</v>
      </c>
      <c r="B74" s="101" t="s">
        <v>3674</v>
      </c>
      <c r="C74" s="25" t="s">
        <v>44</v>
      </c>
      <c r="D74" s="25" t="s">
        <v>3676</v>
      </c>
      <c r="E74" s="101" t="s">
        <v>0</v>
      </c>
      <c r="F74" s="18">
        <v>25836181.629999999</v>
      </c>
      <c r="G74" s="101" t="s">
        <v>3998</v>
      </c>
      <c r="H74" s="25" t="s">
        <v>49</v>
      </c>
      <c r="I74" s="25" t="s">
        <v>2931</v>
      </c>
      <c r="J74" s="18">
        <v>0</v>
      </c>
      <c r="K74" s="7"/>
    </row>
    <row r="75" spans="1:11" ht="51" x14ac:dyDescent="0.2">
      <c r="A75" s="54">
        <v>69</v>
      </c>
      <c r="B75" s="101" t="s">
        <v>3672</v>
      </c>
      <c r="C75" s="25" t="s">
        <v>44</v>
      </c>
      <c r="D75" s="25" t="s">
        <v>3673</v>
      </c>
      <c r="E75" s="101" t="s">
        <v>0</v>
      </c>
      <c r="F75" s="18">
        <v>31257906.420000002</v>
      </c>
      <c r="G75" s="101" t="s">
        <v>4147</v>
      </c>
      <c r="H75" s="25" t="s">
        <v>146</v>
      </c>
      <c r="I75" s="25" t="s">
        <v>2931</v>
      </c>
      <c r="J75" s="18">
        <v>0</v>
      </c>
      <c r="K75" s="7"/>
    </row>
    <row r="76" spans="1:11" ht="51" x14ac:dyDescent="0.2">
      <c r="A76" s="54">
        <v>70</v>
      </c>
      <c r="B76" s="101" t="s">
        <v>3674</v>
      </c>
      <c r="C76" s="25" t="s">
        <v>44</v>
      </c>
      <c r="D76" s="25" t="s">
        <v>3676</v>
      </c>
      <c r="E76" s="101" t="s">
        <v>0</v>
      </c>
      <c r="F76" s="18">
        <v>25738872.800000001</v>
      </c>
      <c r="G76" s="101" t="s">
        <v>4148</v>
      </c>
      <c r="H76" s="25" t="s">
        <v>146</v>
      </c>
      <c r="I76" s="25" t="s">
        <v>2931</v>
      </c>
      <c r="J76" s="18">
        <v>0</v>
      </c>
    </row>
  </sheetData>
  <autoFilter ref="A6:J76"/>
  <mergeCells count="1">
    <mergeCell ref="A4:F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zoomScale="90" zoomScaleNormal="90" workbookViewId="0">
      <pane ySplit="6" topLeftCell="A107" activePane="bottomLeft" state="frozen"/>
      <selection pane="bottomLeft" activeCell="A79" sqref="A79:A110"/>
    </sheetView>
  </sheetViews>
  <sheetFormatPr defaultRowHeight="12.75" x14ac:dyDescent="0.2"/>
  <cols>
    <col min="1" max="1" width="9.28515625" customWidth="1"/>
    <col min="2" max="2" width="44" customWidth="1"/>
    <col min="3" max="3" width="13" customWidth="1"/>
    <col min="4" max="4" width="18.28515625" bestFit="1" customWidth="1"/>
    <col min="5" max="5" width="12.5703125" customWidth="1"/>
    <col min="6" max="6" width="19.7109375" style="58" customWidth="1"/>
    <col min="7" max="7" width="18.28515625" customWidth="1"/>
    <col min="8" max="8" width="27" style="7" bestFit="1" customWidth="1"/>
    <col min="9" max="9" width="10.85546875" style="7" customWidth="1"/>
    <col min="10" max="10" width="18.28515625" customWidth="1"/>
    <col min="13" max="13" width="10.28515625" hidden="1" customWidth="1"/>
    <col min="14" max="14" width="11.7109375" bestFit="1" customWidth="1"/>
  </cols>
  <sheetData>
    <row r="1" spans="1:10" x14ac:dyDescent="0.2">
      <c r="A1" s="33" t="s">
        <v>6</v>
      </c>
      <c r="B1" s="33"/>
      <c r="C1" s="1"/>
      <c r="D1" s="1"/>
    </row>
    <row r="2" spans="1:10" x14ac:dyDescent="0.2">
      <c r="A2" s="33" t="s">
        <v>1283</v>
      </c>
      <c r="B2" s="33"/>
      <c r="C2" s="1"/>
      <c r="D2" s="1"/>
    </row>
    <row r="4" spans="1:10" x14ac:dyDescent="0.2">
      <c r="A4" s="33" t="s">
        <v>1529</v>
      </c>
      <c r="B4" s="33"/>
      <c r="C4" s="33"/>
      <c r="D4" s="33"/>
      <c r="E4" s="33"/>
      <c r="F4" s="72"/>
      <c r="G4" s="33"/>
      <c r="H4" s="2"/>
    </row>
    <row r="6" spans="1:10" ht="63.75" x14ac:dyDescent="0.2">
      <c r="A6" s="30" t="s">
        <v>467</v>
      </c>
      <c r="B6" s="30" t="s">
        <v>7</v>
      </c>
      <c r="C6" s="30" t="s">
        <v>1</v>
      </c>
      <c r="D6" s="30" t="s">
        <v>8</v>
      </c>
      <c r="E6" s="30" t="s">
        <v>9</v>
      </c>
      <c r="F6" s="59" t="s">
        <v>1394</v>
      </c>
      <c r="G6" s="30" t="s">
        <v>469</v>
      </c>
      <c r="H6" s="30" t="s">
        <v>10</v>
      </c>
      <c r="I6" s="30" t="s">
        <v>13</v>
      </c>
      <c r="J6" s="30" t="s">
        <v>14</v>
      </c>
    </row>
    <row r="7" spans="1:10" ht="51" x14ac:dyDescent="0.2">
      <c r="A7" s="25">
        <v>1</v>
      </c>
      <c r="B7" s="55" t="s">
        <v>1291</v>
      </c>
      <c r="C7" s="25" t="s">
        <v>1290</v>
      </c>
      <c r="D7" s="25" t="s">
        <v>4222</v>
      </c>
      <c r="E7" s="12" t="s">
        <v>0</v>
      </c>
      <c r="F7" s="18">
        <v>1093.68</v>
      </c>
      <c r="G7" s="12" t="s">
        <v>1384</v>
      </c>
      <c r="H7" s="25" t="s">
        <v>307</v>
      </c>
      <c r="I7" s="28">
        <v>42971</v>
      </c>
      <c r="J7" s="18">
        <v>0</v>
      </c>
    </row>
    <row r="8" spans="1:10" ht="51" x14ac:dyDescent="0.2">
      <c r="A8" s="25">
        <v>2</v>
      </c>
      <c r="B8" s="55" t="s">
        <v>1292</v>
      </c>
      <c r="C8" s="25" t="s">
        <v>1290</v>
      </c>
      <c r="D8" s="25" t="s">
        <v>4222</v>
      </c>
      <c r="E8" s="12" t="s">
        <v>0</v>
      </c>
      <c r="F8" s="18">
        <f>46268.46+5527559.86+6205743.43</f>
        <v>11779571.75</v>
      </c>
      <c r="G8" s="12" t="s">
        <v>1385</v>
      </c>
      <c r="H8" s="25" t="s">
        <v>41</v>
      </c>
      <c r="I8" s="28">
        <v>42971</v>
      </c>
      <c r="J8" s="18">
        <v>0</v>
      </c>
    </row>
    <row r="9" spans="1:10" ht="51" x14ac:dyDescent="0.2">
      <c r="A9" s="25">
        <v>3</v>
      </c>
      <c r="B9" s="55" t="s">
        <v>1293</v>
      </c>
      <c r="C9" s="25" t="s">
        <v>1290</v>
      </c>
      <c r="D9" s="25" t="s">
        <v>4222</v>
      </c>
      <c r="E9" s="12" t="s">
        <v>0</v>
      </c>
      <c r="F9" s="18">
        <f>7424.24+6931.05+2210.04+40529.16+1845.14+9436.35+4648.22+3793.19+1002.23+18879+11887.26+5681.13</f>
        <v>114267.01000000001</v>
      </c>
      <c r="G9" s="12" t="s">
        <v>1386</v>
      </c>
      <c r="H9" s="25" t="s">
        <v>45</v>
      </c>
      <c r="I9" s="28">
        <v>42969</v>
      </c>
      <c r="J9" s="18">
        <v>0</v>
      </c>
    </row>
    <row r="10" spans="1:10" ht="51" x14ac:dyDescent="0.2">
      <c r="A10" s="25">
        <v>4</v>
      </c>
      <c r="B10" s="55" t="s">
        <v>1294</v>
      </c>
      <c r="C10" s="25" t="s">
        <v>1290</v>
      </c>
      <c r="D10" s="25" t="s">
        <v>4223</v>
      </c>
      <c r="E10" s="12" t="s">
        <v>0</v>
      </c>
      <c r="F10" s="18">
        <v>208249.85</v>
      </c>
      <c r="G10" s="12" t="s">
        <v>1387</v>
      </c>
      <c r="H10" s="25" t="s">
        <v>41</v>
      </c>
      <c r="I10" s="28">
        <v>42970</v>
      </c>
      <c r="J10" s="18">
        <v>0</v>
      </c>
    </row>
    <row r="11" spans="1:10" ht="51" x14ac:dyDescent="0.2">
      <c r="A11" s="25">
        <v>5</v>
      </c>
      <c r="B11" s="55" t="s">
        <v>1295</v>
      </c>
      <c r="C11" s="25" t="s">
        <v>1290</v>
      </c>
      <c r="D11" s="25" t="s">
        <v>4223</v>
      </c>
      <c r="E11" s="12" t="s">
        <v>0</v>
      </c>
      <c r="F11" s="18">
        <f>4085.87+1917.99+2274.14+517.04+1206.43+3194.1+8793.65+21811.6+6711.18+4445.28+6029.15</f>
        <v>60986.43</v>
      </c>
      <c r="G11" s="12" t="s">
        <v>1388</v>
      </c>
      <c r="H11" s="25" t="s">
        <v>45</v>
      </c>
      <c r="I11" s="28">
        <v>42966</v>
      </c>
      <c r="J11" s="18">
        <v>0</v>
      </c>
    </row>
    <row r="12" spans="1:10" ht="51" x14ac:dyDescent="0.2">
      <c r="A12" s="25">
        <v>6</v>
      </c>
      <c r="B12" s="55" t="s">
        <v>1296</v>
      </c>
      <c r="C12" s="25" t="s">
        <v>1290</v>
      </c>
      <c r="D12" s="25" t="s">
        <v>4223</v>
      </c>
      <c r="E12" s="12" t="s">
        <v>0</v>
      </c>
      <c r="F12" s="18">
        <f>39678.91+37547.83+39882.78+24806.88</f>
        <v>141916.4</v>
      </c>
      <c r="G12" s="12" t="s">
        <v>1389</v>
      </c>
      <c r="H12" s="25" t="s">
        <v>49</v>
      </c>
      <c r="I12" s="28">
        <v>42969</v>
      </c>
      <c r="J12" s="18">
        <v>0</v>
      </c>
    </row>
    <row r="13" spans="1:10" ht="51" x14ac:dyDescent="0.2">
      <c r="A13" s="25">
        <v>7</v>
      </c>
      <c r="B13" s="55" t="s">
        <v>1374</v>
      </c>
      <c r="C13" s="25" t="s">
        <v>1290</v>
      </c>
      <c r="D13" s="25" t="s">
        <v>4224</v>
      </c>
      <c r="E13" s="12" t="s">
        <v>0</v>
      </c>
      <c r="F13" s="18">
        <f>16699.2+5097.12+155466.36</f>
        <v>177262.68</v>
      </c>
      <c r="G13" s="12" t="s">
        <v>1390</v>
      </c>
      <c r="H13" s="25" t="s">
        <v>41</v>
      </c>
      <c r="I13" s="28">
        <v>42976</v>
      </c>
      <c r="J13" s="18">
        <v>0</v>
      </c>
    </row>
    <row r="14" spans="1:10" ht="51" x14ac:dyDescent="0.2">
      <c r="A14" s="25">
        <v>8</v>
      </c>
      <c r="B14" s="55" t="s">
        <v>1375</v>
      </c>
      <c r="C14" s="25" t="s">
        <v>1290</v>
      </c>
      <c r="D14" s="25" t="s">
        <v>4224</v>
      </c>
      <c r="E14" s="12" t="s">
        <v>0</v>
      </c>
      <c r="F14" s="18">
        <f>233731.58+37107+36674.4+4534.87+10654.35</f>
        <v>322702.19999999995</v>
      </c>
      <c r="G14" s="12" t="s">
        <v>1391</v>
      </c>
      <c r="H14" s="25" t="s">
        <v>45</v>
      </c>
      <c r="I14" s="28">
        <v>42972</v>
      </c>
      <c r="J14" s="18">
        <v>0</v>
      </c>
    </row>
    <row r="15" spans="1:10" ht="51" x14ac:dyDescent="0.2">
      <c r="A15" s="25">
        <v>9</v>
      </c>
      <c r="B15" s="55" t="s">
        <v>1383</v>
      </c>
      <c r="C15" s="25" t="s">
        <v>1290</v>
      </c>
      <c r="D15" s="25" t="s">
        <v>4224</v>
      </c>
      <c r="E15" s="12" t="s">
        <v>0</v>
      </c>
      <c r="F15" s="18">
        <f>365800.84+530769.65+10800.85</f>
        <v>907371.34</v>
      </c>
      <c r="G15" s="12" t="s">
        <v>1392</v>
      </c>
      <c r="H15" s="25" t="s">
        <v>49</v>
      </c>
      <c r="I15" s="28">
        <v>42976</v>
      </c>
      <c r="J15" s="18">
        <v>0</v>
      </c>
    </row>
    <row r="16" spans="1:10" ht="51" x14ac:dyDescent="0.2">
      <c r="A16" s="25">
        <v>10</v>
      </c>
      <c r="B16" s="55" t="s">
        <v>1376</v>
      </c>
      <c r="C16" s="25" t="s">
        <v>1290</v>
      </c>
      <c r="D16" s="25" t="s">
        <v>4222</v>
      </c>
      <c r="E16" s="12" t="s">
        <v>0</v>
      </c>
      <c r="F16" s="18">
        <f>10466.19+9725.63+3152.02+1032.26+3311.39</f>
        <v>27687.489999999998</v>
      </c>
      <c r="G16" s="12" t="s">
        <v>1393</v>
      </c>
      <c r="H16" s="25" t="s">
        <v>49</v>
      </c>
      <c r="I16" s="28">
        <v>42973</v>
      </c>
      <c r="J16" s="18">
        <v>0</v>
      </c>
    </row>
    <row r="17" spans="1:14" ht="51" x14ac:dyDescent="0.2">
      <c r="A17" s="25">
        <v>11</v>
      </c>
      <c r="B17" s="12" t="s">
        <v>1479</v>
      </c>
      <c r="C17" s="25" t="s">
        <v>1290</v>
      </c>
      <c r="D17" s="25" t="s">
        <v>4224</v>
      </c>
      <c r="E17" s="12" t="s">
        <v>0</v>
      </c>
      <c r="F17" s="18">
        <f>27041.18+13820.63</f>
        <v>40861.81</v>
      </c>
      <c r="G17" s="12" t="s">
        <v>1437</v>
      </c>
      <c r="H17" s="25" t="s">
        <v>307</v>
      </c>
      <c r="I17" s="25" t="s">
        <v>1438</v>
      </c>
      <c r="J17" s="18">
        <v>0</v>
      </c>
    </row>
    <row r="18" spans="1:14" ht="51" x14ac:dyDescent="0.2">
      <c r="A18" s="25">
        <v>12</v>
      </c>
      <c r="B18" s="12" t="s">
        <v>1481</v>
      </c>
      <c r="C18" s="25" t="s">
        <v>1290</v>
      </c>
      <c r="D18" s="25" t="s">
        <v>4222</v>
      </c>
      <c r="E18" s="12" t="s">
        <v>0</v>
      </c>
      <c r="F18" s="58">
        <v>336976.21</v>
      </c>
      <c r="G18" s="12" t="s">
        <v>1440</v>
      </c>
      <c r="H18" s="25" t="s">
        <v>146</v>
      </c>
      <c r="I18" s="25" t="s">
        <v>1439</v>
      </c>
      <c r="J18" s="18">
        <v>0</v>
      </c>
    </row>
    <row r="19" spans="1:14" ht="51" x14ac:dyDescent="0.2">
      <c r="A19" s="25">
        <v>13</v>
      </c>
      <c r="B19" s="12" t="s">
        <v>1480</v>
      </c>
      <c r="C19" s="25" t="s">
        <v>1290</v>
      </c>
      <c r="D19" s="25" t="s">
        <v>4224</v>
      </c>
      <c r="E19" s="12" t="s">
        <v>0</v>
      </c>
      <c r="F19" s="18">
        <v>3010664.36</v>
      </c>
      <c r="G19" s="12" t="s">
        <v>1441</v>
      </c>
      <c r="H19" s="25" t="s">
        <v>146</v>
      </c>
      <c r="I19" s="28">
        <v>42976</v>
      </c>
      <c r="J19" s="18">
        <v>0</v>
      </c>
    </row>
    <row r="20" spans="1:14" ht="63.75" x14ac:dyDescent="0.2">
      <c r="A20" s="25">
        <v>14</v>
      </c>
      <c r="B20" s="12" t="s">
        <v>1482</v>
      </c>
      <c r="C20" s="25" t="s">
        <v>1290</v>
      </c>
      <c r="D20" s="25" t="s">
        <v>4223</v>
      </c>
      <c r="E20" s="12" t="s">
        <v>0</v>
      </c>
      <c r="F20" s="18">
        <v>408157.71</v>
      </c>
      <c r="G20" s="12" t="s">
        <v>1442</v>
      </c>
      <c r="H20" s="25" t="s">
        <v>146</v>
      </c>
      <c r="I20" s="25" t="s">
        <v>1439</v>
      </c>
      <c r="J20" s="18">
        <v>0</v>
      </c>
    </row>
    <row r="21" spans="1:14" ht="51" x14ac:dyDescent="0.2">
      <c r="A21" s="25">
        <v>15</v>
      </c>
      <c r="B21" s="12" t="s">
        <v>1473</v>
      </c>
      <c r="C21" s="25" t="s">
        <v>1290</v>
      </c>
      <c r="D21" s="25" t="s">
        <v>4222</v>
      </c>
      <c r="E21" s="12" t="s">
        <v>0</v>
      </c>
      <c r="F21" s="18">
        <v>7086.24</v>
      </c>
      <c r="G21" s="12" t="s">
        <v>1475</v>
      </c>
      <c r="H21" s="25" t="s">
        <v>148</v>
      </c>
      <c r="I21" s="25" t="s">
        <v>1474</v>
      </c>
      <c r="J21" s="18">
        <v>0</v>
      </c>
      <c r="M21" s="19"/>
      <c r="N21" s="19"/>
    </row>
    <row r="22" spans="1:14" ht="63.75" x14ac:dyDescent="0.2">
      <c r="A22" s="25">
        <v>16</v>
      </c>
      <c r="B22" s="12" t="s">
        <v>1523</v>
      </c>
      <c r="C22" s="25" t="s">
        <v>1290</v>
      </c>
      <c r="D22" s="25" t="s">
        <v>4222</v>
      </c>
      <c r="E22" s="12" t="s">
        <v>1524</v>
      </c>
      <c r="F22" s="18">
        <f>2583*1.05</f>
        <v>2712.15</v>
      </c>
      <c r="G22" s="12" t="s">
        <v>1525</v>
      </c>
      <c r="H22" s="25" t="s">
        <v>49</v>
      </c>
      <c r="I22" s="25" t="s">
        <v>1526</v>
      </c>
      <c r="J22" s="18">
        <v>0</v>
      </c>
      <c r="M22" s="19"/>
      <c r="N22" s="19"/>
    </row>
    <row r="23" spans="1:14" ht="63.75" x14ac:dyDescent="0.2">
      <c r="A23" s="25">
        <v>17</v>
      </c>
      <c r="B23" s="55" t="s">
        <v>1527</v>
      </c>
      <c r="C23" s="25" t="s">
        <v>1290</v>
      </c>
      <c r="D23" s="25" t="s">
        <v>4224</v>
      </c>
      <c r="E23" s="12" t="s">
        <v>1524</v>
      </c>
      <c r="F23" s="18">
        <f>309660*1.05</f>
        <v>325143</v>
      </c>
      <c r="G23" s="12" t="s">
        <v>1528</v>
      </c>
      <c r="H23" s="25" t="s">
        <v>49</v>
      </c>
      <c r="I23" s="25" t="s">
        <v>1526</v>
      </c>
      <c r="J23" s="18">
        <v>0</v>
      </c>
      <c r="M23" s="19"/>
      <c r="N23" s="19"/>
    </row>
    <row r="24" spans="1:14" ht="63.75" x14ac:dyDescent="0.2">
      <c r="A24" s="25">
        <v>18</v>
      </c>
      <c r="B24" s="55" t="s">
        <v>1530</v>
      </c>
      <c r="C24" s="25" t="s">
        <v>1290</v>
      </c>
      <c r="D24" s="25" t="s">
        <v>4223</v>
      </c>
      <c r="E24" s="12" t="s">
        <v>1524</v>
      </c>
      <c r="F24" s="18">
        <f>2938*0.05+2938</f>
        <v>3084.9</v>
      </c>
      <c r="G24" s="12" t="s">
        <v>1531</v>
      </c>
      <c r="H24" s="25" t="s">
        <v>41</v>
      </c>
      <c r="I24" s="25" t="s">
        <v>1532</v>
      </c>
      <c r="J24" s="18">
        <v>0</v>
      </c>
      <c r="M24" s="19"/>
      <c r="N24" s="19"/>
    </row>
    <row r="25" spans="1:14" ht="63.75" x14ac:dyDescent="0.2">
      <c r="A25" s="25">
        <v>19</v>
      </c>
      <c r="B25" s="12" t="s">
        <v>1533</v>
      </c>
      <c r="C25" s="25" t="s">
        <v>1290</v>
      </c>
      <c r="D25" s="25" t="s">
        <v>4222</v>
      </c>
      <c r="E25" s="12" t="s">
        <v>1524</v>
      </c>
      <c r="F25" s="18">
        <v>2240970.9</v>
      </c>
      <c r="G25" s="12" t="s">
        <v>1534</v>
      </c>
      <c r="H25" s="25" t="s">
        <v>41</v>
      </c>
      <c r="I25" s="25" t="s">
        <v>1526</v>
      </c>
      <c r="J25" s="18">
        <v>0</v>
      </c>
      <c r="M25" s="19"/>
      <c r="N25" s="19"/>
    </row>
    <row r="26" spans="1:14" ht="63.75" x14ac:dyDescent="0.2">
      <c r="A26" s="25">
        <v>20</v>
      </c>
      <c r="B26" s="12" t="s">
        <v>1535</v>
      </c>
      <c r="C26" s="25" t="s">
        <v>1290</v>
      </c>
      <c r="D26" s="25" t="s">
        <v>4224</v>
      </c>
      <c r="E26" s="12" t="s">
        <v>1524</v>
      </c>
      <c r="F26" s="18">
        <v>11165.7</v>
      </c>
      <c r="G26" s="12" t="s">
        <v>1536</v>
      </c>
      <c r="H26" s="25" t="s">
        <v>41</v>
      </c>
      <c r="I26" s="25" t="s">
        <v>1526</v>
      </c>
      <c r="J26" s="18">
        <v>0</v>
      </c>
      <c r="M26" s="19"/>
      <c r="N26" s="19"/>
    </row>
    <row r="27" spans="1:14" ht="63.75" x14ac:dyDescent="0.2">
      <c r="A27" s="25">
        <v>21</v>
      </c>
      <c r="B27" s="12" t="s">
        <v>1545</v>
      </c>
      <c r="C27" s="25" t="s">
        <v>1290</v>
      </c>
      <c r="D27" s="25" t="s">
        <v>4223</v>
      </c>
      <c r="E27" s="12" t="s">
        <v>1524</v>
      </c>
      <c r="F27" s="18">
        <v>16214.25</v>
      </c>
      <c r="G27" s="12" t="s">
        <v>1546</v>
      </c>
      <c r="H27" s="25" t="s">
        <v>49</v>
      </c>
      <c r="I27" s="25" t="s">
        <v>1532</v>
      </c>
      <c r="J27" s="18">
        <v>0</v>
      </c>
      <c r="M27" s="19"/>
      <c r="N27" s="19"/>
    </row>
    <row r="28" spans="1:14" ht="51" x14ac:dyDescent="0.2">
      <c r="A28" s="25">
        <v>22</v>
      </c>
      <c r="B28" s="12" t="s">
        <v>1559</v>
      </c>
      <c r="C28" s="25" t="s">
        <v>1290</v>
      </c>
      <c r="D28" s="25" t="s">
        <v>4233</v>
      </c>
      <c r="E28" s="12" t="s">
        <v>0</v>
      </c>
      <c r="F28" s="18">
        <f>15065.82+11867.28+2517.56</f>
        <v>29450.66</v>
      </c>
      <c r="G28" s="12" t="s">
        <v>1561</v>
      </c>
      <c r="H28" s="25" t="s">
        <v>41</v>
      </c>
      <c r="I28" s="25" t="s">
        <v>1560</v>
      </c>
      <c r="J28" s="18">
        <v>0</v>
      </c>
      <c r="M28" s="19"/>
      <c r="N28" s="19"/>
    </row>
    <row r="29" spans="1:14" ht="63.75" x14ac:dyDescent="0.2">
      <c r="A29" s="25">
        <v>23</v>
      </c>
      <c r="B29" s="12" t="s">
        <v>1556</v>
      </c>
      <c r="C29" s="25" t="s">
        <v>1290</v>
      </c>
      <c r="D29" s="25" t="s">
        <v>4233</v>
      </c>
      <c r="E29" s="12" t="s">
        <v>1524</v>
      </c>
      <c r="F29" s="18">
        <v>4229.3999999999996</v>
      </c>
      <c r="G29" s="12" t="s">
        <v>1557</v>
      </c>
      <c r="H29" s="25" t="s">
        <v>41</v>
      </c>
      <c r="I29" s="25" t="s">
        <v>1558</v>
      </c>
      <c r="J29" s="18">
        <v>0</v>
      </c>
      <c r="M29" s="19"/>
      <c r="N29" s="19"/>
    </row>
    <row r="30" spans="1:14" ht="63.75" x14ac:dyDescent="0.2">
      <c r="A30" s="25">
        <v>24</v>
      </c>
      <c r="B30" s="12" t="s">
        <v>1562</v>
      </c>
      <c r="C30" s="25" t="s">
        <v>1290</v>
      </c>
      <c r="D30" s="25" t="s">
        <v>4236</v>
      </c>
      <c r="E30" s="12" t="s">
        <v>1524</v>
      </c>
      <c r="F30" s="18">
        <v>216731.55</v>
      </c>
      <c r="G30" s="12" t="s">
        <v>1564</v>
      </c>
      <c r="H30" s="25" t="s">
        <v>49</v>
      </c>
      <c r="I30" s="25" t="s">
        <v>1563</v>
      </c>
      <c r="J30" s="18">
        <v>0</v>
      </c>
      <c r="M30" s="19"/>
      <c r="N30" s="19"/>
    </row>
    <row r="31" spans="1:14" ht="51" x14ac:dyDescent="0.2">
      <c r="A31" s="25">
        <v>25</v>
      </c>
      <c r="B31" s="12" t="s">
        <v>1567</v>
      </c>
      <c r="C31" s="25" t="s">
        <v>1290</v>
      </c>
      <c r="D31" s="25" t="s">
        <v>4233</v>
      </c>
      <c r="E31" s="12" t="s">
        <v>0</v>
      </c>
      <c r="F31" s="18">
        <f>12442.82+3689.6</f>
        <v>16132.42</v>
      </c>
      <c r="G31" s="12" t="s">
        <v>1568</v>
      </c>
      <c r="H31" s="25" t="s">
        <v>49</v>
      </c>
      <c r="I31" s="25" t="s">
        <v>1560</v>
      </c>
      <c r="J31" s="18">
        <v>0</v>
      </c>
      <c r="M31" s="19"/>
      <c r="N31" s="19"/>
    </row>
    <row r="32" spans="1:14" ht="63.75" x14ac:dyDescent="0.2">
      <c r="A32" s="25">
        <v>26</v>
      </c>
      <c r="B32" s="12" t="s">
        <v>1565</v>
      </c>
      <c r="C32" s="25" t="s">
        <v>1290</v>
      </c>
      <c r="D32" s="25" t="s">
        <v>4233</v>
      </c>
      <c r="E32" s="12" t="s">
        <v>1524</v>
      </c>
      <c r="F32" s="18">
        <v>1373.4</v>
      </c>
      <c r="G32" s="12" t="s">
        <v>1566</v>
      </c>
      <c r="H32" s="25" t="s">
        <v>49</v>
      </c>
      <c r="I32" s="25" t="s">
        <v>1558</v>
      </c>
      <c r="J32" s="18">
        <v>0</v>
      </c>
      <c r="M32" s="19"/>
      <c r="N32" s="19"/>
    </row>
    <row r="33" spans="1:14" ht="63.75" x14ac:dyDescent="0.2">
      <c r="A33" s="25">
        <v>27</v>
      </c>
      <c r="B33" s="12" t="s">
        <v>1569</v>
      </c>
      <c r="C33" s="25" t="s">
        <v>1290</v>
      </c>
      <c r="D33" s="25" t="s">
        <v>4223</v>
      </c>
      <c r="E33" s="12" t="s">
        <v>1570</v>
      </c>
      <c r="F33" s="18"/>
      <c r="G33" s="12" t="s">
        <v>1571</v>
      </c>
      <c r="H33" s="25" t="s">
        <v>41</v>
      </c>
      <c r="I33" s="25" t="s">
        <v>1572</v>
      </c>
      <c r="J33" s="18">
        <v>0</v>
      </c>
      <c r="M33" s="19"/>
      <c r="N33" s="19"/>
    </row>
    <row r="34" spans="1:14" ht="51" x14ac:dyDescent="0.2">
      <c r="A34" s="25">
        <v>28</v>
      </c>
      <c r="B34" s="12" t="s">
        <v>1580</v>
      </c>
      <c r="C34" s="25" t="s">
        <v>1290</v>
      </c>
      <c r="D34" s="25" t="s">
        <v>4236</v>
      </c>
      <c r="E34" s="12" t="s">
        <v>0</v>
      </c>
      <c r="F34" s="18">
        <f>(265.44+3717+584135.6+56868+194096.6)*1.05</f>
        <v>881036.77199999988</v>
      </c>
      <c r="G34" s="12" t="s">
        <v>1581</v>
      </c>
      <c r="H34" s="25" t="s">
        <v>41</v>
      </c>
      <c r="I34" s="25" t="s">
        <v>1563</v>
      </c>
      <c r="J34" s="18">
        <v>0</v>
      </c>
      <c r="M34" s="19"/>
      <c r="N34" s="19"/>
    </row>
    <row r="35" spans="1:14" ht="63.75" x14ac:dyDescent="0.2">
      <c r="A35" s="25">
        <v>29</v>
      </c>
      <c r="B35" s="12" t="s">
        <v>1578</v>
      </c>
      <c r="C35" s="25" t="s">
        <v>1290</v>
      </c>
      <c r="D35" s="25" t="s">
        <v>4236</v>
      </c>
      <c r="E35" s="12" t="s">
        <v>1524</v>
      </c>
      <c r="F35" s="18">
        <v>62899.41</v>
      </c>
      <c r="G35" s="12" t="s">
        <v>1579</v>
      </c>
      <c r="H35" s="25" t="s">
        <v>41</v>
      </c>
      <c r="I35" s="25" t="s">
        <v>1563</v>
      </c>
      <c r="J35" s="18">
        <v>0</v>
      </c>
      <c r="M35" s="19"/>
      <c r="N35" s="19"/>
    </row>
    <row r="36" spans="1:14" ht="63.75" x14ac:dyDescent="0.2">
      <c r="A36" s="25">
        <v>30</v>
      </c>
      <c r="B36" s="12" t="s">
        <v>1582</v>
      </c>
      <c r="C36" s="25" t="s">
        <v>1290</v>
      </c>
      <c r="D36" s="25" t="s">
        <v>4223</v>
      </c>
      <c r="E36" s="12" t="s">
        <v>1524</v>
      </c>
      <c r="F36" s="18">
        <v>8747.0300000000007</v>
      </c>
      <c r="G36" s="12" t="s">
        <v>1583</v>
      </c>
      <c r="H36" s="25" t="s">
        <v>45</v>
      </c>
      <c r="I36" s="25" t="s">
        <v>1532</v>
      </c>
      <c r="J36" s="18">
        <v>0</v>
      </c>
      <c r="M36" s="19"/>
      <c r="N36" s="19"/>
    </row>
    <row r="37" spans="1:14" ht="63.75" x14ac:dyDescent="0.2">
      <c r="A37" s="25">
        <v>31</v>
      </c>
      <c r="B37" s="12" t="s">
        <v>1591</v>
      </c>
      <c r="C37" s="25" t="s">
        <v>1290</v>
      </c>
      <c r="D37" s="25" t="s">
        <v>4224</v>
      </c>
      <c r="E37" s="12" t="s">
        <v>1524</v>
      </c>
      <c r="F37" s="18">
        <f>(45210+1995+11100+90+839.5)*1.05</f>
        <v>62196.225000000006</v>
      </c>
      <c r="G37" s="12" t="s">
        <v>1592</v>
      </c>
      <c r="H37" s="25" t="s">
        <v>45</v>
      </c>
      <c r="I37" s="25" t="s">
        <v>1526</v>
      </c>
      <c r="J37" s="18">
        <v>0</v>
      </c>
      <c r="M37" s="19"/>
      <c r="N37" s="19"/>
    </row>
    <row r="38" spans="1:14" ht="63.75" x14ac:dyDescent="0.2">
      <c r="A38" s="25">
        <v>32</v>
      </c>
      <c r="B38" s="55" t="s">
        <v>1593</v>
      </c>
      <c r="C38" s="25" t="s">
        <v>1290</v>
      </c>
      <c r="D38" s="25" t="s">
        <v>4222</v>
      </c>
      <c r="E38" s="12" t="s">
        <v>1524</v>
      </c>
      <c r="F38" s="18">
        <f>(858+609+600+3870+157.5+630+376+378+34.5+2560+1265+260)*1.05</f>
        <v>12177.9</v>
      </c>
      <c r="G38" s="12" t="s">
        <v>1594</v>
      </c>
      <c r="H38" s="25" t="s">
        <v>45</v>
      </c>
      <c r="I38" s="25" t="s">
        <v>1526</v>
      </c>
      <c r="J38" s="18">
        <v>0</v>
      </c>
      <c r="M38" s="19"/>
      <c r="N38" s="19"/>
    </row>
    <row r="39" spans="1:14" ht="63.75" x14ac:dyDescent="0.2">
      <c r="A39" s="25">
        <v>33</v>
      </c>
      <c r="B39" s="12" t="s">
        <v>1595</v>
      </c>
      <c r="C39" s="25" t="s">
        <v>1290</v>
      </c>
      <c r="D39" s="25" t="s">
        <v>4236</v>
      </c>
      <c r="E39" s="12" t="s">
        <v>1524</v>
      </c>
      <c r="F39" s="18">
        <f>(1530+1782+2175+19800+10890+410+1122+450+2160+348000+414.03+70050)*1.05</f>
        <v>481722.18150000006</v>
      </c>
      <c r="G39" s="12" t="s">
        <v>1596</v>
      </c>
      <c r="H39" s="25" t="s">
        <v>45</v>
      </c>
      <c r="I39" s="25" t="s">
        <v>1563</v>
      </c>
      <c r="J39" s="18">
        <v>0</v>
      </c>
      <c r="M39" s="19"/>
      <c r="N39" s="19"/>
    </row>
    <row r="40" spans="1:14" ht="51" x14ac:dyDescent="0.2">
      <c r="A40" s="25">
        <v>34</v>
      </c>
      <c r="B40" s="55" t="s">
        <v>1597</v>
      </c>
      <c r="C40" s="25" t="s">
        <v>1290</v>
      </c>
      <c r="D40" s="25" t="s">
        <v>4233</v>
      </c>
      <c r="E40" s="12" t="s">
        <v>0</v>
      </c>
      <c r="F40" s="18">
        <f>86165.77+22273.23+8588.58+15243.17+6791.4+2070.18+27056.23+3049.96+3117.35+22012.2+586.43+1019.84+5971.9+1711.58+11952.11+4496.84+16306.71+13866.36+5439</f>
        <v>257718.83999999997</v>
      </c>
      <c r="G40" s="12" t="s">
        <v>1598</v>
      </c>
      <c r="H40" s="25" t="s">
        <v>45</v>
      </c>
      <c r="I40" s="25" t="s">
        <v>1599</v>
      </c>
      <c r="J40" s="18">
        <v>0</v>
      </c>
      <c r="M40" s="19"/>
      <c r="N40" s="19"/>
    </row>
    <row r="41" spans="1:14" ht="63.75" x14ac:dyDescent="0.2">
      <c r="A41" s="25">
        <v>35</v>
      </c>
      <c r="B41" s="55" t="s">
        <v>1600</v>
      </c>
      <c r="C41" s="25" t="s">
        <v>1290</v>
      </c>
      <c r="D41" s="25" t="s">
        <v>4233</v>
      </c>
      <c r="E41" s="12" t="s">
        <v>1524</v>
      </c>
      <c r="F41" s="18">
        <f>(6468+2244+308+402.5+275+300+2184+390+825+2250+200+31.2+595+408+1892+320+952+1407+1120)*1.05</f>
        <v>23700.285000000003</v>
      </c>
      <c r="G41" s="12" t="s">
        <v>1601</v>
      </c>
      <c r="H41" s="25" t="s">
        <v>45</v>
      </c>
      <c r="I41" s="25" t="s">
        <v>1558</v>
      </c>
      <c r="J41" s="18">
        <v>0</v>
      </c>
      <c r="M41" s="19"/>
      <c r="N41" s="19"/>
    </row>
    <row r="42" spans="1:14" ht="51" x14ac:dyDescent="0.2">
      <c r="A42" s="25">
        <v>36</v>
      </c>
      <c r="B42" s="12" t="s">
        <v>1602</v>
      </c>
      <c r="C42" s="25" t="s">
        <v>1290</v>
      </c>
      <c r="D42" s="25" t="s">
        <v>4236</v>
      </c>
      <c r="E42" s="12" t="s">
        <v>0</v>
      </c>
      <c r="F42" s="18">
        <f>14952.23+27716.09+8705.66+73211.99+38056.1+1205.4+12066.86+37237.73+774.9+1887437.16+53377.98+1892152.77</f>
        <v>4046894.87</v>
      </c>
      <c r="G42" s="12" t="s">
        <v>1603</v>
      </c>
      <c r="H42" s="25" t="s">
        <v>45</v>
      </c>
      <c r="I42" s="25" t="s">
        <v>1560</v>
      </c>
      <c r="J42" s="18">
        <v>0</v>
      </c>
      <c r="M42" s="19"/>
      <c r="N42" s="19"/>
    </row>
    <row r="43" spans="1:14" ht="51" x14ac:dyDescent="0.2">
      <c r="A43" s="25">
        <v>37</v>
      </c>
      <c r="B43" s="12" t="s">
        <v>1662</v>
      </c>
      <c r="C43" s="25" t="s">
        <v>1290</v>
      </c>
      <c r="D43" s="25" t="s">
        <v>4233</v>
      </c>
      <c r="E43" s="12" t="s">
        <v>0</v>
      </c>
      <c r="F43" s="18">
        <f>33852.55+6824.9+226.17+20467.27+1993.58+4341.65+2337.41+18965.52+3291.04+6862.8+25717.34+8166.8</f>
        <v>133047.03</v>
      </c>
      <c r="G43" s="12" t="s">
        <v>1664</v>
      </c>
      <c r="H43" s="25" t="s">
        <v>146</v>
      </c>
      <c r="I43" s="25" t="s">
        <v>1663</v>
      </c>
      <c r="J43" s="18">
        <v>0</v>
      </c>
      <c r="M43" s="19"/>
      <c r="N43" s="19"/>
    </row>
    <row r="44" spans="1:14" ht="51" x14ac:dyDescent="0.2">
      <c r="A44" s="25">
        <v>38</v>
      </c>
      <c r="B44" s="12" t="s">
        <v>1665</v>
      </c>
      <c r="C44" s="25" t="s">
        <v>1290</v>
      </c>
      <c r="D44" s="25" t="s">
        <v>4236</v>
      </c>
      <c r="E44" s="12" t="s">
        <v>0</v>
      </c>
      <c r="F44" s="18">
        <f>4856.78+233935.7+93985.92+4478.88+20662.74+1126245.12+341890.23+10066.88+355241.04</f>
        <v>2191363.29</v>
      </c>
      <c r="G44" s="12" t="s">
        <v>1666</v>
      </c>
      <c r="H44" s="25" t="s">
        <v>146</v>
      </c>
      <c r="I44" s="25" t="s">
        <v>1560</v>
      </c>
      <c r="J44" s="18">
        <v>0</v>
      </c>
      <c r="N44" s="19"/>
    </row>
    <row r="45" spans="1:14" ht="63.75" x14ac:dyDescent="0.2">
      <c r="A45" s="25">
        <v>39</v>
      </c>
      <c r="B45" s="12" t="s">
        <v>1668</v>
      </c>
      <c r="C45" s="25" t="s">
        <v>1290</v>
      </c>
      <c r="D45" s="25" t="s">
        <v>4224</v>
      </c>
      <c r="E45" s="12" t="s">
        <v>1524</v>
      </c>
      <c r="F45" s="18">
        <v>209688.68</v>
      </c>
      <c r="G45" s="12" t="s">
        <v>1667</v>
      </c>
      <c r="H45" s="25" t="s">
        <v>146</v>
      </c>
      <c r="I45" s="25" t="s">
        <v>1526</v>
      </c>
      <c r="J45" s="18">
        <v>0</v>
      </c>
      <c r="N45" s="19"/>
    </row>
    <row r="46" spans="1:14" ht="63.75" x14ac:dyDescent="0.2">
      <c r="A46" s="25">
        <v>40</v>
      </c>
      <c r="B46" s="12" t="s">
        <v>1669</v>
      </c>
      <c r="C46" s="25" t="s">
        <v>1290</v>
      </c>
      <c r="D46" s="25" t="s">
        <v>4223</v>
      </c>
      <c r="E46" s="12" t="s">
        <v>1524</v>
      </c>
      <c r="F46" s="18">
        <v>41858.78</v>
      </c>
      <c r="G46" s="12" t="s">
        <v>1670</v>
      </c>
      <c r="H46" s="25" t="s">
        <v>146</v>
      </c>
      <c r="I46" s="25" t="s">
        <v>1532</v>
      </c>
      <c r="J46" s="18">
        <v>0</v>
      </c>
      <c r="N46" s="19"/>
    </row>
    <row r="47" spans="1:14" ht="63.75" x14ac:dyDescent="0.2">
      <c r="A47" s="25">
        <v>41</v>
      </c>
      <c r="B47" s="12" t="s">
        <v>1671</v>
      </c>
      <c r="C47" s="25" t="s">
        <v>1290</v>
      </c>
      <c r="D47" s="25" t="s">
        <v>4236</v>
      </c>
      <c r="E47" s="12" t="s">
        <v>1524</v>
      </c>
      <c r="F47" s="18">
        <v>247381.05</v>
      </c>
      <c r="G47" s="12" t="s">
        <v>1672</v>
      </c>
      <c r="H47" s="25" t="s">
        <v>146</v>
      </c>
      <c r="I47" s="25" t="s">
        <v>1563</v>
      </c>
      <c r="J47" s="18">
        <v>0</v>
      </c>
    </row>
    <row r="48" spans="1:14" ht="63.75" x14ac:dyDescent="0.2">
      <c r="A48" s="25">
        <v>42</v>
      </c>
      <c r="B48" s="12" t="s">
        <v>1673</v>
      </c>
      <c r="C48" s="25" t="s">
        <v>1290</v>
      </c>
      <c r="D48" s="25" t="s">
        <v>4233</v>
      </c>
      <c r="E48" s="12" t="s">
        <v>1524</v>
      </c>
      <c r="F48" s="18">
        <v>14695.38</v>
      </c>
      <c r="G48" s="12" t="s">
        <v>1674</v>
      </c>
      <c r="H48" s="25" t="s">
        <v>146</v>
      </c>
      <c r="I48" s="25" t="s">
        <v>1558</v>
      </c>
      <c r="J48" s="18">
        <v>0</v>
      </c>
      <c r="N48" s="19"/>
    </row>
    <row r="49" spans="1:10" ht="51" x14ac:dyDescent="0.2">
      <c r="A49" s="25">
        <v>43</v>
      </c>
      <c r="B49" s="12" t="s">
        <v>1675</v>
      </c>
      <c r="C49" s="25" t="s">
        <v>1290</v>
      </c>
      <c r="D49" s="25" t="s">
        <v>4236</v>
      </c>
      <c r="E49" s="12" t="s">
        <v>0</v>
      </c>
      <c r="F49" s="18">
        <f>41492.43+458476.52+1469133.67+314903.61</f>
        <v>2284006.23</v>
      </c>
      <c r="G49" s="12" t="s">
        <v>1676</v>
      </c>
      <c r="H49" s="25" t="s">
        <v>49</v>
      </c>
      <c r="I49" s="25" t="s">
        <v>1560</v>
      </c>
      <c r="J49" s="18">
        <v>0</v>
      </c>
    </row>
    <row r="50" spans="1:10" ht="51" x14ac:dyDescent="0.2">
      <c r="A50" s="25">
        <v>44</v>
      </c>
      <c r="B50" s="12" t="s">
        <v>1746</v>
      </c>
      <c r="C50" s="25" t="s">
        <v>1290</v>
      </c>
      <c r="D50" s="25" t="s">
        <v>4236</v>
      </c>
      <c r="E50" s="12" t="s">
        <v>0</v>
      </c>
      <c r="F50" s="18">
        <f>7417.2+2898+27631.8+11314.28</f>
        <v>49261.279999999999</v>
      </c>
      <c r="G50" s="12" t="s">
        <v>1748</v>
      </c>
      <c r="H50" s="25" t="s">
        <v>148</v>
      </c>
      <c r="I50" s="25" t="s">
        <v>1560</v>
      </c>
      <c r="J50" s="18">
        <v>0</v>
      </c>
    </row>
    <row r="51" spans="1:10" ht="63.75" x14ac:dyDescent="0.2">
      <c r="A51" s="25">
        <v>45</v>
      </c>
      <c r="B51" s="12" t="s">
        <v>1745</v>
      </c>
      <c r="C51" s="25" t="s">
        <v>1290</v>
      </c>
      <c r="D51" s="25" t="s">
        <v>4236</v>
      </c>
      <c r="E51" s="12" t="s">
        <v>1524</v>
      </c>
      <c r="F51" s="18">
        <f>(1000+1500+5985+900)*1.25</f>
        <v>11731.25</v>
      </c>
      <c r="G51" s="12" t="s">
        <v>1747</v>
      </c>
      <c r="H51" s="25" t="s">
        <v>148</v>
      </c>
      <c r="I51" s="25" t="s">
        <v>1563</v>
      </c>
      <c r="J51" s="18">
        <v>0</v>
      </c>
    </row>
    <row r="52" spans="1:10" ht="51" x14ac:dyDescent="0.2">
      <c r="A52" s="25">
        <v>46</v>
      </c>
      <c r="B52" s="12" t="s">
        <v>1753</v>
      </c>
      <c r="C52" s="25" t="s">
        <v>1290</v>
      </c>
      <c r="D52" s="25" t="s">
        <v>4236</v>
      </c>
      <c r="E52" s="12" t="s">
        <v>0</v>
      </c>
      <c r="F52" s="18">
        <f>2152.67+10248+1344</f>
        <v>13744.67</v>
      </c>
      <c r="G52" s="12" t="s">
        <v>1754</v>
      </c>
      <c r="H52" s="25" t="s">
        <v>307</v>
      </c>
      <c r="I52" s="25" t="s">
        <v>1755</v>
      </c>
      <c r="J52" s="18">
        <v>0</v>
      </c>
    </row>
    <row r="53" spans="1:10" ht="63.75" x14ac:dyDescent="0.2">
      <c r="A53" s="25">
        <v>47</v>
      </c>
      <c r="B53" s="12" t="s">
        <v>1756</v>
      </c>
      <c r="C53" s="25" t="s">
        <v>1290</v>
      </c>
      <c r="D53" s="25" t="s">
        <v>4236</v>
      </c>
      <c r="E53" s="12" t="s">
        <v>1524</v>
      </c>
      <c r="F53" s="56">
        <f>(540+1920+512)*1.05</f>
        <v>3120.6</v>
      </c>
      <c r="G53" s="55" t="s">
        <v>1757</v>
      </c>
      <c r="H53" s="54" t="s">
        <v>307</v>
      </c>
      <c r="I53" s="54" t="s">
        <v>1563</v>
      </c>
      <c r="J53" s="56">
        <v>0</v>
      </c>
    </row>
    <row r="54" spans="1:10" ht="63.75" x14ac:dyDescent="0.2">
      <c r="A54" s="25">
        <v>48</v>
      </c>
      <c r="B54" s="12" t="s">
        <v>1758</v>
      </c>
      <c r="C54" s="25" t="s">
        <v>1290</v>
      </c>
      <c r="D54" s="25" t="s">
        <v>4222</v>
      </c>
      <c r="E54" s="12" t="s">
        <v>1524</v>
      </c>
      <c r="F54" s="56">
        <f>280*1.05</f>
        <v>294</v>
      </c>
      <c r="G54" s="55" t="s">
        <v>1759</v>
      </c>
      <c r="H54" s="54" t="s">
        <v>307</v>
      </c>
      <c r="I54" s="54" t="s">
        <v>1526</v>
      </c>
      <c r="J54" s="56">
        <v>0</v>
      </c>
    </row>
    <row r="55" spans="1:10" ht="63.75" x14ac:dyDescent="0.2">
      <c r="A55" s="25">
        <v>49</v>
      </c>
      <c r="B55" s="12" t="s">
        <v>1760</v>
      </c>
      <c r="C55" s="25" t="s">
        <v>1290</v>
      </c>
      <c r="D55" s="25" t="s">
        <v>4224</v>
      </c>
      <c r="E55" s="12" t="s">
        <v>1524</v>
      </c>
      <c r="F55" s="56">
        <f>(1125+650)*1.05</f>
        <v>1863.75</v>
      </c>
      <c r="G55" s="55" t="s">
        <v>1761</v>
      </c>
      <c r="H55" s="54" t="s">
        <v>307</v>
      </c>
      <c r="I55" s="54" t="s">
        <v>1526</v>
      </c>
      <c r="J55" s="56">
        <v>0</v>
      </c>
    </row>
    <row r="56" spans="1:10" ht="63.75" x14ac:dyDescent="0.2">
      <c r="A56" s="25">
        <v>50</v>
      </c>
      <c r="B56" s="12" t="s">
        <v>1762</v>
      </c>
      <c r="C56" s="25" t="s">
        <v>1290</v>
      </c>
      <c r="D56" s="25" t="s">
        <v>4222</v>
      </c>
      <c r="E56" s="12" t="s">
        <v>1524</v>
      </c>
      <c r="F56" s="18">
        <f>817*1.05</f>
        <v>857.85</v>
      </c>
      <c r="G56" s="12" t="s">
        <v>1763</v>
      </c>
      <c r="H56" s="25" t="s">
        <v>148</v>
      </c>
      <c r="I56" s="25" t="s">
        <v>1526</v>
      </c>
      <c r="J56" s="18">
        <v>0</v>
      </c>
    </row>
    <row r="57" spans="1:10" ht="63.75" x14ac:dyDescent="0.2">
      <c r="A57" s="25">
        <v>51</v>
      </c>
      <c r="B57" s="12" t="s">
        <v>1807</v>
      </c>
      <c r="C57" s="25" t="s">
        <v>1290</v>
      </c>
      <c r="D57" s="25" t="s">
        <v>4222</v>
      </c>
      <c r="E57" s="12" t="s">
        <v>1524</v>
      </c>
      <c r="F57" s="18">
        <v>34498.800000000003</v>
      </c>
      <c r="G57" s="12" t="s">
        <v>1806</v>
      </c>
      <c r="H57" s="25" t="s">
        <v>146</v>
      </c>
      <c r="I57" s="25" t="s">
        <v>1526</v>
      </c>
      <c r="J57" s="18">
        <v>0</v>
      </c>
    </row>
    <row r="58" spans="1:10" ht="51" x14ac:dyDescent="0.2">
      <c r="A58" s="25">
        <v>52</v>
      </c>
      <c r="B58" s="12" t="s">
        <v>1824</v>
      </c>
      <c r="C58" s="25" t="s">
        <v>1290</v>
      </c>
      <c r="D58" s="25" t="s">
        <v>4234</v>
      </c>
      <c r="E58" s="12" t="s">
        <v>0</v>
      </c>
      <c r="F58" s="18">
        <v>42915.93</v>
      </c>
      <c r="G58" s="12" t="s">
        <v>1825</v>
      </c>
      <c r="H58" s="25" t="s">
        <v>41</v>
      </c>
      <c r="I58" s="25" t="s">
        <v>1826</v>
      </c>
      <c r="J58" s="18">
        <v>0</v>
      </c>
    </row>
    <row r="59" spans="1:10" ht="51" x14ac:dyDescent="0.2">
      <c r="A59" s="25">
        <v>53</v>
      </c>
      <c r="B59" s="12" t="s">
        <v>1827</v>
      </c>
      <c r="C59" s="25" t="s">
        <v>1290</v>
      </c>
      <c r="D59" s="25" t="s">
        <v>4234</v>
      </c>
      <c r="E59" s="12" t="s">
        <v>0</v>
      </c>
      <c r="F59" s="18">
        <f>20784.33+28256.13+8798.79+11177.25+10495.17+1924.02+4313.4+21357.63+5085.47</f>
        <v>112192.19</v>
      </c>
      <c r="G59" s="12" t="s">
        <v>1828</v>
      </c>
      <c r="H59" s="25" t="s">
        <v>45</v>
      </c>
      <c r="I59" s="25" t="s">
        <v>1829</v>
      </c>
      <c r="J59" s="18">
        <v>0</v>
      </c>
    </row>
    <row r="60" spans="1:10" ht="63.75" x14ac:dyDescent="0.2">
      <c r="A60" s="25">
        <v>54</v>
      </c>
      <c r="B60" s="12" t="s">
        <v>1830</v>
      </c>
      <c r="C60" s="25" t="s">
        <v>1290</v>
      </c>
      <c r="D60" s="25" t="s">
        <v>4234</v>
      </c>
      <c r="E60" s="12" t="s">
        <v>1524</v>
      </c>
      <c r="F60" s="18">
        <v>26175.87</v>
      </c>
      <c r="G60" s="12" t="s">
        <v>1831</v>
      </c>
      <c r="H60" s="25" t="s">
        <v>45</v>
      </c>
      <c r="I60" s="25" t="s">
        <v>1832</v>
      </c>
      <c r="J60" s="18">
        <v>0</v>
      </c>
    </row>
    <row r="61" spans="1:10" ht="63.75" x14ac:dyDescent="0.2">
      <c r="A61" s="25">
        <v>55</v>
      </c>
      <c r="B61" s="12" t="s">
        <v>1857</v>
      </c>
      <c r="C61" s="25" t="s">
        <v>1290</v>
      </c>
      <c r="D61" s="25" t="s">
        <v>4234</v>
      </c>
      <c r="E61" s="12" t="s">
        <v>1524</v>
      </c>
      <c r="F61" s="18">
        <v>2420.25</v>
      </c>
      <c r="G61" s="12" t="s">
        <v>1858</v>
      </c>
      <c r="H61" s="25" t="s">
        <v>41</v>
      </c>
      <c r="I61" s="25" t="s">
        <v>1832</v>
      </c>
      <c r="J61" s="18">
        <v>0</v>
      </c>
    </row>
    <row r="62" spans="1:10" ht="51" x14ac:dyDescent="0.2">
      <c r="A62" s="25">
        <v>56</v>
      </c>
      <c r="B62" s="12" t="s">
        <v>1863</v>
      </c>
      <c r="C62" s="25" t="s">
        <v>1290</v>
      </c>
      <c r="D62" s="25" t="s">
        <v>4234</v>
      </c>
      <c r="E62" s="12" t="s">
        <v>0</v>
      </c>
      <c r="F62" s="18">
        <v>17177.27</v>
      </c>
      <c r="G62" s="12" t="s">
        <v>1864</v>
      </c>
      <c r="H62" s="25" t="s">
        <v>148</v>
      </c>
      <c r="I62" s="25" t="s">
        <v>1826</v>
      </c>
      <c r="J62" s="18">
        <v>0</v>
      </c>
    </row>
    <row r="63" spans="1:10" ht="63.75" x14ac:dyDescent="0.2">
      <c r="A63" s="25">
        <v>57</v>
      </c>
      <c r="B63" s="12" t="s">
        <v>1865</v>
      </c>
      <c r="C63" s="25" t="s">
        <v>1290</v>
      </c>
      <c r="D63" s="25" t="s">
        <v>4234</v>
      </c>
      <c r="E63" s="12" t="s">
        <v>1524</v>
      </c>
      <c r="F63" s="18">
        <f>990*1.05</f>
        <v>1039.5</v>
      </c>
      <c r="G63" s="12" t="s">
        <v>1866</v>
      </c>
      <c r="H63" s="25" t="s">
        <v>148</v>
      </c>
      <c r="I63" s="25" t="s">
        <v>1832</v>
      </c>
      <c r="J63" s="18">
        <v>0</v>
      </c>
    </row>
    <row r="64" spans="1:10" ht="51" x14ac:dyDescent="0.2">
      <c r="A64" s="25">
        <v>58</v>
      </c>
      <c r="B64" s="12" t="s">
        <v>1903</v>
      </c>
      <c r="C64" s="25" t="s">
        <v>1290</v>
      </c>
      <c r="D64" s="25" t="s">
        <v>4231</v>
      </c>
      <c r="E64" s="12" t="s">
        <v>0</v>
      </c>
      <c r="F64" s="18">
        <f>101115+10652.21+28603.26+25378.12</f>
        <v>165748.59</v>
      </c>
      <c r="G64" s="12" t="s">
        <v>1905</v>
      </c>
      <c r="H64" s="25" t="s">
        <v>41</v>
      </c>
      <c r="I64" s="25" t="s">
        <v>1832</v>
      </c>
      <c r="J64" s="18">
        <v>0</v>
      </c>
    </row>
    <row r="65" spans="1:10" ht="63.75" x14ac:dyDescent="0.2">
      <c r="A65" s="25">
        <v>59</v>
      </c>
      <c r="B65" s="12" t="s">
        <v>1904</v>
      </c>
      <c r="C65" s="25" t="s">
        <v>1290</v>
      </c>
      <c r="D65" s="25" t="s">
        <v>4231</v>
      </c>
      <c r="E65" s="12" t="s">
        <v>1524</v>
      </c>
      <c r="F65" s="18">
        <f>(4500+258.8+1680+7987)*1.05</f>
        <v>15147.09</v>
      </c>
      <c r="G65" s="12" t="s">
        <v>1906</v>
      </c>
      <c r="H65" s="25" t="s">
        <v>41</v>
      </c>
      <c r="I65" s="25" t="s">
        <v>1907</v>
      </c>
      <c r="J65" s="18">
        <v>0</v>
      </c>
    </row>
    <row r="66" spans="1:10" ht="51" x14ac:dyDescent="0.2">
      <c r="A66" s="25">
        <v>60</v>
      </c>
      <c r="B66" s="12" t="s">
        <v>1920</v>
      </c>
      <c r="C66" s="25" t="s">
        <v>1290</v>
      </c>
      <c r="D66" s="25" t="s">
        <v>4234</v>
      </c>
      <c r="E66" s="12" t="s">
        <v>0</v>
      </c>
      <c r="F66" s="18">
        <f>29728.13+66588.9+686.28+13930.9+19470.49+24353.91+70429.07+2392.01+9239.79+10976.08+6411.46+7610.48+30577.6+8685.05+169270.76+21767.71</f>
        <v>492118.62</v>
      </c>
      <c r="G66" s="12" t="s">
        <v>1921</v>
      </c>
      <c r="H66" s="25" t="s">
        <v>146</v>
      </c>
      <c r="I66" s="25" t="s">
        <v>1917</v>
      </c>
      <c r="J66" s="18">
        <v>0</v>
      </c>
    </row>
    <row r="67" spans="1:10" ht="51" x14ac:dyDescent="0.2">
      <c r="A67" s="25">
        <v>61</v>
      </c>
      <c r="B67" s="12" t="s">
        <v>1922</v>
      </c>
      <c r="C67" s="25" t="s">
        <v>1290</v>
      </c>
      <c r="D67" s="25" t="s">
        <v>4231</v>
      </c>
      <c r="E67" s="12" t="s">
        <v>0</v>
      </c>
      <c r="F67" s="18">
        <f>50822.23+449489.25+747360.02+39305.28+1284891.72+663085.25+11278.34+57033.35+9310.56</f>
        <v>3312576</v>
      </c>
      <c r="G67" s="12" t="s">
        <v>1925</v>
      </c>
      <c r="H67" s="25" t="s">
        <v>49</v>
      </c>
      <c r="I67" s="25" t="s">
        <v>1907</v>
      </c>
      <c r="J67" s="18">
        <v>0</v>
      </c>
    </row>
    <row r="68" spans="1:10" ht="63.75" x14ac:dyDescent="0.2">
      <c r="A68" s="25">
        <v>62</v>
      </c>
      <c r="B68" s="12" t="s">
        <v>1926</v>
      </c>
      <c r="C68" s="25" t="s">
        <v>1290</v>
      </c>
      <c r="D68" s="25" t="s">
        <v>4231</v>
      </c>
      <c r="E68" s="12" t="s">
        <v>1524</v>
      </c>
      <c r="F68" s="18">
        <f>(40825+78750+69589+23396+147000+89600+814+2940+1271.4)*1.05</f>
        <v>476894.67000000004</v>
      </c>
      <c r="G68" s="12" t="s">
        <v>1927</v>
      </c>
      <c r="H68" s="25" t="s">
        <v>49</v>
      </c>
      <c r="I68" s="25" t="s">
        <v>1907</v>
      </c>
      <c r="J68" s="18">
        <v>0</v>
      </c>
    </row>
    <row r="69" spans="1:10" ht="51" x14ac:dyDescent="0.2">
      <c r="A69" s="25">
        <v>63</v>
      </c>
      <c r="B69" s="12" t="s">
        <v>1932</v>
      </c>
      <c r="C69" s="25" t="s">
        <v>1290</v>
      </c>
      <c r="D69" s="25" t="s">
        <v>4235</v>
      </c>
      <c r="E69" s="12" t="s">
        <v>0</v>
      </c>
      <c r="F69" s="18">
        <f>174957.3+442672.65+3796.25+337802.18</f>
        <v>959228.37999999989</v>
      </c>
      <c r="G69" s="12" t="s">
        <v>1944</v>
      </c>
      <c r="H69" s="25" t="s">
        <v>45</v>
      </c>
      <c r="I69" s="25" t="s">
        <v>1933</v>
      </c>
      <c r="J69" s="18">
        <v>0</v>
      </c>
    </row>
    <row r="70" spans="1:10" ht="63.75" x14ac:dyDescent="0.2">
      <c r="A70" s="25">
        <v>64</v>
      </c>
      <c r="B70" s="12" t="s">
        <v>1942</v>
      </c>
      <c r="C70" s="25" t="s">
        <v>1290</v>
      </c>
      <c r="D70" s="25" t="s">
        <v>4235</v>
      </c>
      <c r="E70" s="12" t="s">
        <v>1524</v>
      </c>
      <c r="F70" s="18">
        <v>466092.29</v>
      </c>
      <c r="G70" s="12" t="s">
        <v>1943</v>
      </c>
      <c r="H70" s="25" t="s">
        <v>45</v>
      </c>
      <c r="I70" s="25" t="s">
        <v>1907</v>
      </c>
      <c r="J70" s="18">
        <v>0</v>
      </c>
    </row>
    <row r="71" spans="1:10" ht="51" x14ac:dyDescent="0.2">
      <c r="A71" s="25">
        <v>65</v>
      </c>
      <c r="B71" s="12" t="s">
        <v>1962</v>
      </c>
      <c r="C71" s="25" t="s">
        <v>1290</v>
      </c>
      <c r="D71" s="25" t="s">
        <v>4231</v>
      </c>
      <c r="E71" s="12" t="s">
        <v>0</v>
      </c>
      <c r="F71" s="18">
        <f>605.47+40785.57+58923.59+44942.31+212964.78+500978.52+43558.73+45589.53+2060.42+50088.41+12463.76</f>
        <v>1012961.0900000001</v>
      </c>
      <c r="G71" s="12" t="s">
        <v>1963</v>
      </c>
      <c r="H71" s="25" t="s">
        <v>45</v>
      </c>
      <c r="I71" s="25" t="s">
        <v>1832</v>
      </c>
      <c r="J71" s="18">
        <v>0</v>
      </c>
    </row>
    <row r="72" spans="1:10" ht="63.75" x14ac:dyDescent="0.2">
      <c r="A72" s="25">
        <v>66</v>
      </c>
      <c r="B72" s="12" t="s">
        <v>1964</v>
      </c>
      <c r="C72" s="25" t="s">
        <v>1290</v>
      </c>
      <c r="D72" s="25" t="s">
        <v>4231</v>
      </c>
      <c r="E72" s="12" t="s">
        <v>1524</v>
      </c>
      <c r="F72" s="18">
        <v>101862.92</v>
      </c>
      <c r="G72" s="12" t="s">
        <v>1965</v>
      </c>
      <c r="H72" s="25" t="s">
        <v>45</v>
      </c>
      <c r="I72" s="25" t="s">
        <v>1907</v>
      </c>
      <c r="J72" s="18">
        <v>0</v>
      </c>
    </row>
    <row r="73" spans="1:10" ht="63.75" x14ac:dyDescent="0.2">
      <c r="A73" s="25">
        <v>67</v>
      </c>
      <c r="B73" s="12" t="s">
        <v>1966</v>
      </c>
      <c r="C73" s="25" t="s">
        <v>1290</v>
      </c>
      <c r="D73" s="25" t="s">
        <v>4235</v>
      </c>
      <c r="E73" s="12" t="s">
        <v>1524</v>
      </c>
      <c r="F73" s="18">
        <f>518*1.05</f>
        <v>543.9</v>
      </c>
      <c r="G73" s="12" t="s">
        <v>1967</v>
      </c>
      <c r="H73" s="25" t="s">
        <v>41</v>
      </c>
      <c r="I73" s="25" t="s">
        <v>1907</v>
      </c>
      <c r="J73" s="18">
        <v>0</v>
      </c>
    </row>
    <row r="74" spans="1:10" ht="51" x14ac:dyDescent="0.2">
      <c r="A74" s="25">
        <v>68</v>
      </c>
      <c r="B74" s="12" t="s">
        <v>1968</v>
      </c>
      <c r="C74" s="25" t="s">
        <v>1290</v>
      </c>
      <c r="D74" s="25" t="s">
        <v>4235</v>
      </c>
      <c r="E74" s="12" t="s">
        <v>0</v>
      </c>
      <c r="F74" s="18">
        <f>3232.32</f>
        <v>3232.32</v>
      </c>
      <c r="G74" s="12" t="s">
        <v>1969</v>
      </c>
      <c r="H74" s="25" t="s">
        <v>41</v>
      </c>
      <c r="I74" s="25" t="s">
        <v>1960</v>
      </c>
      <c r="J74" s="18">
        <v>0</v>
      </c>
    </row>
    <row r="75" spans="1:10" ht="51" x14ac:dyDescent="0.2">
      <c r="A75" s="25">
        <v>69</v>
      </c>
      <c r="B75" s="76" t="s">
        <v>2010</v>
      </c>
      <c r="C75" s="25" t="s">
        <v>1290</v>
      </c>
      <c r="D75" s="25" t="s">
        <v>4235</v>
      </c>
      <c r="E75" s="76" t="s">
        <v>0</v>
      </c>
      <c r="F75" s="18">
        <f>1312429.85+666584.61+4722794.75+38371.2+58923.48+1216686.24+447977.88+625655+86387.49+823767.21+190456.77+1458629.99+991863.76+227303.08+8105.08+950941.16+506588.07+972463.8</f>
        <v>15305929.420000002</v>
      </c>
      <c r="G75" s="76" t="s">
        <v>2011</v>
      </c>
      <c r="H75" s="25" t="s">
        <v>49</v>
      </c>
      <c r="I75" s="25" t="s">
        <v>2012</v>
      </c>
      <c r="J75" s="18">
        <v>0</v>
      </c>
    </row>
    <row r="76" spans="1:10" ht="51" x14ac:dyDescent="0.2">
      <c r="A76" s="25">
        <v>70</v>
      </c>
      <c r="B76" s="76" t="s">
        <v>2014</v>
      </c>
      <c r="C76" s="25" t="s">
        <v>1290</v>
      </c>
      <c r="D76" s="25" t="s">
        <v>4232</v>
      </c>
      <c r="E76" s="76" t="s">
        <v>0</v>
      </c>
      <c r="F76" s="18">
        <f>742123.2+278650.26+1477947.16+321638.08+824201.39+2116482.76+11307.45+20243.22+16593.95+1224410.04+371797.49</f>
        <v>7405395</v>
      </c>
      <c r="G76" s="76" t="s">
        <v>2015</v>
      </c>
      <c r="H76" s="25" t="s">
        <v>49</v>
      </c>
      <c r="I76" s="25" t="s">
        <v>2016</v>
      </c>
      <c r="J76" s="18">
        <v>0</v>
      </c>
    </row>
    <row r="77" spans="1:10" ht="51" x14ac:dyDescent="0.2">
      <c r="A77" s="25">
        <v>71</v>
      </c>
      <c r="B77" s="76" t="s">
        <v>2017</v>
      </c>
      <c r="C77" s="25" t="s">
        <v>1290</v>
      </c>
      <c r="D77" s="25" t="s">
        <v>4235</v>
      </c>
      <c r="E77" s="76" t="s">
        <v>0</v>
      </c>
      <c r="F77" s="18">
        <v>18970.349999999999</v>
      </c>
      <c r="G77" s="76" t="s">
        <v>2018</v>
      </c>
      <c r="H77" s="25" t="s">
        <v>148</v>
      </c>
      <c r="I77" s="25" t="s">
        <v>1960</v>
      </c>
      <c r="J77" s="18">
        <v>0</v>
      </c>
    </row>
    <row r="78" spans="1:10" ht="51" x14ac:dyDescent="0.2">
      <c r="A78" s="25">
        <v>72</v>
      </c>
      <c r="B78" s="76" t="s">
        <v>2019</v>
      </c>
      <c r="C78" s="25" t="s">
        <v>1290</v>
      </c>
      <c r="D78" s="25" t="s">
        <v>4231</v>
      </c>
      <c r="E78" s="76" t="s">
        <v>0</v>
      </c>
      <c r="F78" s="18">
        <f>26411.39+1436.4+963.9+1819.44+13618.5+151375.77+2856+31361.14</f>
        <v>229842.53999999998</v>
      </c>
      <c r="G78" s="76" t="s">
        <v>2020</v>
      </c>
      <c r="H78" s="25" t="s">
        <v>146</v>
      </c>
      <c r="I78" s="25" t="s">
        <v>2021</v>
      </c>
      <c r="J78" s="18">
        <v>0</v>
      </c>
    </row>
    <row r="79" spans="1:10" ht="51" x14ac:dyDescent="0.2">
      <c r="A79" s="25">
        <v>73</v>
      </c>
      <c r="B79" s="76" t="s">
        <v>2022</v>
      </c>
      <c r="C79" s="25" t="s">
        <v>1290</v>
      </c>
      <c r="D79" s="25" t="s">
        <v>4232</v>
      </c>
      <c r="E79" s="76" t="s">
        <v>0</v>
      </c>
      <c r="F79" s="18">
        <f>28787.22+146806.38+55922.69+56975.63+6639.36+1303280.29+502409.25+1806+2205+352365.55+11128.64+2085.72+34081.43+9927.23</f>
        <v>2514420.3900000006</v>
      </c>
      <c r="G79" s="76" t="s">
        <v>2023</v>
      </c>
      <c r="H79" s="25" t="s">
        <v>146</v>
      </c>
      <c r="I79" s="25" t="s">
        <v>2021</v>
      </c>
      <c r="J79" s="18">
        <v>0</v>
      </c>
    </row>
    <row r="80" spans="1:10" ht="51" x14ac:dyDescent="0.2">
      <c r="A80" s="25">
        <v>74</v>
      </c>
      <c r="B80" s="76" t="s">
        <v>2024</v>
      </c>
      <c r="C80" s="25" t="s">
        <v>1290</v>
      </c>
      <c r="D80" s="25" t="s">
        <v>4235</v>
      </c>
      <c r="E80" s="76" t="s">
        <v>0</v>
      </c>
      <c r="F80" s="18">
        <f>37702.46+31616.76+65645.37+14805.84+94248.63+45055.5+397782.82+55744.42+292238.35+327283.16+458602.01</f>
        <v>1820725.32</v>
      </c>
      <c r="G80" s="76" t="s">
        <v>2070</v>
      </c>
      <c r="H80" s="25" t="s">
        <v>146</v>
      </c>
      <c r="I80" s="25" t="s">
        <v>2021</v>
      </c>
      <c r="J80" s="18">
        <v>0</v>
      </c>
    </row>
    <row r="81" spans="1:10" ht="51" x14ac:dyDescent="0.2">
      <c r="A81" s="25">
        <v>75</v>
      </c>
      <c r="B81" s="76" t="s">
        <v>2025</v>
      </c>
      <c r="C81" s="25" t="s">
        <v>1290</v>
      </c>
      <c r="D81" s="25" t="s">
        <v>4234</v>
      </c>
      <c r="E81" s="76" t="s">
        <v>0</v>
      </c>
      <c r="F81" s="18">
        <f>1864869.56</f>
        <v>1864869.56</v>
      </c>
      <c r="G81" s="76" t="s">
        <v>2026</v>
      </c>
      <c r="H81" s="25" t="s">
        <v>211</v>
      </c>
      <c r="I81" s="25" t="s">
        <v>2027</v>
      </c>
      <c r="J81" s="18">
        <v>0</v>
      </c>
    </row>
    <row r="82" spans="1:10" ht="51" x14ac:dyDescent="0.2">
      <c r="A82" s="25">
        <v>76</v>
      </c>
      <c r="B82" s="76" t="s">
        <v>2028</v>
      </c>
      <c r="C82" s="25" t="s">
        <v>1290</v>
      </c>
      <c r="D82" s="25" t="s">
        <v>4237</v>
      </c>
      <c r="E82" s="76" t="s">
        <v>0</v>
      </c>
      <c r="F82" s="18">
        <f>170029.02+682378.78+705321.07</f>
        <v>1557728.87</v>
      </c>
      <c r="G82" s="76" t="s">
        <v>2029</v>
      </c>
      <c r="H82" s="25" t="s">
        <v>211</v>
      </c>
      <c r="I82" s="25" t="s">
        <v>2030</v>
      </c>
      <c r="J82" s="18">
        <v>0</v>
      </c>
    </row>
    <row r="83" spans="1:10" ht="63.75" x14ac:dyDescent="0.2">
      <c r="A83" s="25">
        <v>77</v>
      </c>
      <c r="B83" s="76" t="s">
        <v>2013</v>
      </c>
      <c r="C83" s="25" t="s">
        <v>1290</v>
      </c>
      <c r="D83" s="25" t="s">
        <v>4232</v>
      </c>
      <c r="E83" s="76" t="s">
        <v>1524</v>
      </c>
      <c r="F83" s="18">
        <v>2345274.54</v>
      </c>
      <c r="G83" s="76" t="s">
        <v>2066</v>
      </c>
      <c r="H83" s="25" t="s">
        <v>49</v>
      </c>
      <c r="I83" s="25" t="s">
        <v>2067</v>
      </c>
      <c r="J83" s="18">
        <v>0</v>
      </c>
    </row>
    <row r="84" spans="1:10" ht="63.75" x14ac:dyDescent="0.2">
      <c r="A84" s="25">
        <v>78</v>
      </c>
      <c r="B84" s="76" t="s">
        <v>2068</v>
      </c>
      <c r="C84" s="25" t="s">
        <v>1290</v>
      </c>
      <c r="D84" s="25" t="s">
        <v>4235</v>
      </c>
      <c r="E84" s="76" t="s">
        <v>1524</v>
      </c>
      <c r="F84" s="18">
        <v>299751.90000000002</v>
      </c>
      <c r="G84" s="76" t="s">
        <v>2069</v>
      </c>
      <c r="H84" s="25" t="s">
        <v>146</v>
      </c>
      <c r="I84" s="25" t="s">
        <v>1907</v>
      </c>
      <c r="J84" s="18">
        <v>0</v>
      </c>
    </row>
    <row r="85" spans="1:10" ht="63.75" x14ac:dyDescent="0.2">
      <c r="A85" s="25">
        <v>79</v>
      </c>
      <c r="B85" s="76" t="s">
        <v>2071</v>
      </c>
      <c r="C85" s="25" t="s">
        <v>1290</v>
      </c>
      <c r="D85" s="25" t="s">
        <v>4231</v>
      </c>
      <c r="E85" s="76" t="s">
        <v>1524</v>
      </c>
      <c r="F85" s="18">
        <v>24401.16</v>
      </c>
      <c r="G85" s="76" t="s">
        <v>2072</v>
      </c>
      <c r="H85" s="25" t="s">
        <v>146</v>
      </c>
      <c r="I85" s="25" t="s">
        <v>1907</v>
      </c>
      <c r="J85" s="18">
        <v>0</v>
      </c>
    </row>
    <row r="86" spans="1:10" ht="63.75" x14ac:dyDescent="0.2">
      <c r="A86" s="25">
        <v>80</v>
      </c>
      <c r="B86" s="76" t="s">
        <v>2073</v>
      </c>
      <c r="C86" s="25" t="s">
        <v>1290</v>
      </c>
      <c r="D86" s="25" t="s">
        <v>4232</v>
      </c>
      <c r="E86" s="76" t="s">
        <v>1524</v>
      </c>
      <c r="F86" s="18">
        <v>1096150.75</v>
      </c>
      <c r="G86" s="76" t="s">
        <v>2074</v>
      </c>
      <c r="H86" s="25" t="s">
        <v>146</v>
      </c>
      <c r="I86" s="25" t="s">
        <v>2067</v>
      </c>
      <c r="J86" s="18">
        <v>0</v>
      </c>
    </row>
    <row r="87" spans="1:10" ht="63.75" x14ac:dyDescent="0.2">
      <c r="A87" s="25">
        <v>81</v>
      </c>
      <c r="B87" s="77" t="s">
        <v>2075</v>
      </c>
      <c r="C87" s="25" t="s">
        <v>1290</v>
      </c>
      <c r="D87" s="25" t="s">
        <v>4235</v>
      </c>
      <c r="E87" s="77" t="s">
        <v>1524</v>
      </c>
      <c r="F87" s="18">
        <f>8050*1.05</f>
        <v>8452.5</v>
      </c>
      <c r="G87" s="77" t="s">
        <v>2076</v>
      </c>
      <c r="H87" s="25" t="s">
        <v>148</v>
      </c>
      <c r="I87" s="25" t="s">
        <v>1907</v>
      </c>
      <c r="J87" s="18">
        <v>0</v>
      </c>
    </row>
    <row r="88" spans="1:10" ht="63.75" x14ac:dyDescent="0.2">
      <c r="A88" s="25">
        <v>82</v>
      </c>
      <c r="B88" s="77" t="s">
        <v>2077</v>
      </c>
      <c r="C88" s="25" t="s">
        <v>1290</v>
      </c>
      <c r="D88" s="25" t="s">
        <v>4235</v>
      </c>
      <c r="E88" s="77" t="s">
        <v>1524</v>
      </c>
      <c r="F88" s="18">
        <v>3968754.34</v>
      </c>
      <c r="G88" s="77" t="s">
        <v>2078</v>
      </c>
      <c r="H88" s="25" t="s">
        <v>49</v>
      </c>
      <c r="I88" s="25" t="s">
        <v>1907</v>
      </c>
      <c r="J88" s="18">
        <v>0</v>
      </c>
    </row>
    <row r="89" spans="1:10" ht="63.75" x14ac:dyDescent="0.2">
      <c r="A89" s="25">
        <v>83</v>
      </c>
      <c r="B89" s="78" t="s">
        <v>2105</v>
      </c>
      <c r="C89" s="25" t="s">
        <v>1290</v>
      </c>
      <c r="D89" s="25" t="s">
        <v>4235</v>
      </c>
      <c r="E89" s="78" t="s">
        <v>1524</v>
      </c>
      <c r="F89" s="18">
        <f>2595*1.05</f>
        <v>2724.75</v>
      </c>
      <c r="G89" s="78" t="s">
        <v>2103</v>
      </c>
      <c r="H89" s="25" t="s">
        <v>2104</v>
      </c>
      <c r="I89" s="25" t="s">
        <v>1907</v>
      </c>
      <c r="J89" s="18">
        <v>0</v>
      </c>
    </row>
    <row r="90" spans="1:10" ht="63.75" x14ac:dyDescent="0.2">
      <c r="A90" s="25">
        <v>84</v>
      </c>
      <c r="B90" s="78" t="s">
        <v>2106</v>
      </c>
      <c r="C90" s="25" t="s">
        <v>1290</v>
      </c>
      <c r="D90" s="25" t="s">
        <v>4235</v>
      </c>
      <c r="E90" s="78" t="s">
        <v>1524</v>
      </c>
      <c r="F90" s="18">
        <f>153000*1.05</f>
        <v>160650</v>
      </c>
      <c r="G90" s="78" t="s">
        <v>2107</v>
      </c>
      <c r="H90" s="25" t="s">
        <v>211</v>
      </c>
      <c r="I90" s="25" t="s">
        <v>1907</v>
      </c>
      <c r="J90" s="18">
        <v>0</v>
      </c>
    </row>
    <row r="91" spans="1:10" ht="51" x14ac:dyDescent="0.2">
      <c r="A91" s="25">
        <v>85</v>
      </c>
      <c r="B91" s="78" t="s">
        <v>2102</v>
      </c>
      <c r="C91" s="25" t="s">
        <v>1290</v>
      </c>
      <c r="D91" s="25" t="s">
        <v>4235</v>
      </c>
      <c r="E91" s="78" t="s">
        <v>0</v>
      </c>
      <c r="F91" s="18">
        <f>520699.72</f>
        <v>520699.72</v>
      </c>
      <c r="G91" s="78" t="s">
        <v>2108</v>
      </c>
      <c r="H91" s="25" t="s">
        <v>2104</v>
      </c>
      <c r="I91" s="25" t="s">
        <v>2021</v>
      </c>
      <c r="J91" s="18">
        <v>0</v>
      </c>
    </row>
    <row r="92" spans="1:10" ht="51" x14ac:dyDescent="0.2">
      <c r="A92" s="25">
        <v>86</v>
      </c>
      <c r="B92" s="78" t="s">
        <v>2109</v>
      </c>
      <c r="C92" s="25" t="s">
        <v>1290</v>
      </c>
      <c r="D92" s="25" t="s">
        <v>4235</v>
      </c>
      <c r="E92" s="78" t="s">
        <v>0</v>
      </c>
      <c r="F92" s="18">
        <v>1706634.56</v>
      </c>
      <c r="G92" s="78" t="s">
        <v>2110</v>
      </c>
      <c r="H92" s="25" t="s">
        <v>211</v>
      </c>
      <c r="I92" s="25" t="s">
        <v>1982</v>
      </c>
      <c r="J92" s="18">
        <v>0</v>
      </c>
    </row>
    <row r="93" spans="1:10" ht="51" x14ac:dyDescent="0.2">
      <c r="A93" s="25">
        <v>87</v>
      </c>
      <c r="B93" s="78" t="s">
        <v>2111</v>
      </c>
      <c r="C93" s="25" t="s">
        <v>1290</v>
      </c>
      <c r="D93" s="25" t="s">
        <v>4232</v>
      </c>
      <c r="E93" s="78" t="s">
        <v>0</v>
      </c>
      <c r="F93" s="18">
        <v>11760146.02</v>
      </c>
      <c r="G93" s="78" t="s">
        <v>2112</v>
      </c>
      <c r="H93" s="25" t="s">
        <v>45</v>
      </c>
      <c r="I93" s="25" t="s">
        <v>2021</v>
      </c>
      <c r="J93" s="18">
        <v>0</v>
      </c>
    </row>
    <row r="94" spans="1:10" ht="51" x14ac:dyDescent="0.2">
      <c r="A94" s="25">
        <v>88</v>
      </c>
      <c r="B94" s="78" t="s">
        <v>2113</v>
      </c>
      <c r="C94" s="25" t="s">
        <v>1290</v>
      </c>
      <c r="D94" s="25" t="s">
        <v>4232</v>
      </c>
      <c r="E94" s="78" t="s">
        <v>0</v>
      </c>
      <c r="F94" s="18">
        <f>300689.55+677780.54</f>
        <v>978470.09000000008</v>
      </c>
      <c r="G94" s="78" t="s">
        <v>2114</v>
      </c>
      <c r="H94" s="25" t="s">
        <v>2104</v>
      </c>
      <c r="I94" s="25" t="s">
        <v>2016</v>
      </c>
      <c r="J94" s="18">
        <v>0</v>
      </c>
    </row>
    <row r="95" spans="1:10" ht="63.75" x14ac:dyDescent="0.2">
      <c r="A95" s="25">
        <v>89</v>
      </c>
      <c r="B95" s="78" t="s">
        <v>2115</v>
      </c>
      <c r="C95" s="25" t="s">
        <v>1290</v>
      </c>
      <c r="D95" s="25" t="s">
        <v>4232</v>
      </c>
      <c r="E95" s="78" t="s">
        <v>1524</v>
      </c>
      <c r="F95" s="18">
        <f>(494901+289080+13110)*1.05</f>
        <v>836945.55</v>
      </c>
      <c r="G95" s="78" t="s">
        <v>2116</v>
      </c>
      <c r="H95" s="25" t="s">
        <v>45</v>
      </c>
      <c r="I95" s="25" t="s">
        <v>2067</v>
      </c>
      <c r="J95" s="18">
        <v>0</v>
      </c>
    </row>
    <row r="96" spans="1:10" ht="51" x14ac:dyDescent="0.2">
      <c r="A96" s="25">
        <v>90</v>
      </c>
      <c r="B96" s="79" t="s">
        <v>2128</v>
      </c>
      <c r="C96" s="25" t="s">
        <v>1290</v>
      </c>
      <c r="D96" s="25" t="s">
        <v>4232</v>
      </c>
      <c r="E96" s="79" t="s">
        <v>0</v>
      </c>
      <c r="F96" s="18">
        <f>1132656.11+718207.88+623170.39+694123.54+195167.49+2073456</f>
        <v>5436781.4100000001</v>
      </c>
      <c r="G96" s="79" t="s">
        <v>2129</v>
      </c>
      <c r="H96" s="25" t="s">
        <v>41</v>
      </c>
      <c r="I96" s="25" t="s">
        <v>2130</v>
      </c>
      <c r="J96" s="18">
        <v>0</v>
      </c>
    </row>
    <row r="97" spans="1:10" ht="63.75" x14ac:dyDescent="0.2">
      <c r="A97" s="25">
        <v>91</v>
      </c>
      <c r="B97" s="79" t="s">
        <v>2136</v>
      </c>
      <c r="C97" s="25" t="s">
        <v>1290</v>
      </c>
      <c r="D97" s="25" t="s">
        <v>4232</v>
      </c>
      <c r="E97" s="79" t="s">
        <v>1524</v>
      </c>
      <c r="F97" s="18">
        <v>1468874.4</v>
      </c>
      <c r="G97" s="79" t="s">
        <v>2137</v>
      </c>
      <c r="H97" s="25" t="s">
        <v>41</v>
      </c>
      <c r="I97" s="25" t="s">
        <v>2067</v>
      </c>
      <c r="J97" s="18">
        <v>0</v>
      </c>
    </row>
    <row r="98" spans="1:10" ht="63.75" x14ac:dyDescent="0.2">
      <c r="A98" s="25">
        <v>92</v>
      </c>
      <c r="B98" s="81" t="s">
        <v>2235</v>
      </c>
      <c r="C98" s="25" t="s">
        <v>1290</v>
      </c>
      <c r="D98" s="25" t="s">
        <v>4231</v>
      </c>
      <c r="E98" s="81" t="s">
        <v>1524</v>
      </c>
      <c r="F98" s="18">
        <f>(46508+84980+83160)*1.05</f>
        <v>225380.40000000002</v>
      </c>
      <c r="G98" s="81" t="s">
        <v>2236</v>
      </c>
      <c r="H98" s="25" t="s">
        <v>211</v>
      </c>
      <c r="I98" s="25" t="s">
        <v>1907</v>
      </c>
      <c r="J98" s="18">
        <v>0</v>
      </c>
    </row>
    <row r="99" spans="1:10" ht="63.75" x14ac:dyDescent="0.2">
      <c r="A99" s="25">
        <v>93</v>
      </c>
      <c r="B99" s="81" t="s">
        <v>2237</v>
      </c>
      <c r="C99" s="25" t="s">
        <v>1290</v>
      </c>
      <c r="D99" s="25" t="s">
        <v>4234</v>
      </c>
      <c r="E99" s="81" t="s">
        <v>1524</v>
      </c>
      <c r="F99" s="18">
        <f>239680*1.05</f>
        <v>251664</v>
      </c>
      <c r="G99" s="81" t="s">
        <v>2238</v>
      </c>
      <c r="H99" s="25" t="s">
        <v>211</v>
      </c>
      <c r="I99" s="25" t="s">
        <v>1832</v>
      </c>
      <c r="J99" s="18">
        <v>0</v>
      </c>
    </row>
    <row r="100" spans="1:10" ht="63.75" x14ac:dyDescent="0.2">
      <c r="A100" s="25">
        <v>94</v>
      </c>
      <c r="B100" s="81" t="s">
        <v>2239</v>
      </c>
      <c r="C100" s="25" t="s">
        <v>1290</v>
      </c>
      <c r="D100" s="25" t="s">
        <v>4232</v>
      </c>
      <c r="E100" s="81" t="s">
        <v>1524</v>
      </c>
      <c r="F100" s="18">
        <f>(2350+112000)*1.05</f>
        <v>120067.5</v>
      </c>
      <c r="G100" s="81" t="s">
        <v>2240</v>
      </c>
      <c r="H100" s="25" t="s">
        <v>2104</v>
      </c>
      <c r="I100" s="25" t="s">
        <v>2067</v>
      </c>
      <c r="J100" s="18">
        <v>0</v>
      </c>
    </row>
    <row r="101" spans="1:10" ht="51" x14ac:dyDescent="0.2">
      <c r="A101" s="25">
        <v>95</v>
      </c>
      <c r="B101" s="92" t="s">
        <v>2368</v>
      </c>
      <c r="C101" s="25" t="s">
        <v>1290</v>
      </c>
      <c r="D101" s="25" t="s">
        <v>4230</v>
      </c>
      <c r="E101" s="92" t="s">
        <v>0</v>
      </c>
      <c r="F101" s="18">
        <f>5205.11+144727.91+64139.04+5306.7+38572.8+9145.5+3733.8</f>
        <v>270830.86</v>
      </c>
      <c r="G101" s="92" t="s">
        <v>2369</v>
      </c>
      <c r="H101" s="25" t="s">
        <v>45</v>
      </c>
      <c r="I101" s="25" t="s">
        <v>2331</v>
      </c>
      <c r="J101" s="18">
        <v>0</v>
      </c>
    </row>
    <row r="102" spans="1:10" ht="63.75" x14ac:dyDescent="0.2">
      <c r="A102" s="25">
        <v>96</v>
      </c>
      <c r="B102" s="92" t="s">
        <v>2409</v>
      </c>
      <c r="C102" s="25" t="s">
        <v>1290</v>
      </c>
      <c r="D102" s="25" t="s">
        <v>4230</v>
      </c>
      <c r="E102" s="92" t="s">
        <v>1524</v>
      </c>
      <c r="F102" s="18">
        <f>(316+3959+1620+385+1230+351+140)*1.05</f>
        <v>8401.0500000000011</v>
      </c>
      <c r="G102" s="92" t="s">
        <v>2410</v>
      </c>
      <c r="H102" s="25" t="s">
        <v>45</v>
      </c>
      <c r="I102" s="25" t="s">
        <v>2411</v>
      </c>
      <c r="J102" s="18">
        <v>0</v>
      </c>
    </row>
    <row r="103" spans="1:10" ht="51" x14ac:dyDescent="0.2">
      <c r="A103" s="25">
        <v>97</v>
      </c>
      <c r="B103" s="92" t="s">
        <v>2428</v>
      </c>
      <c r="C103" s="25" t="s">
        <v>1290</v>
      </c>
      <c r="D103" s="25" t="s">
        <v>4230</v>
      </c>
      <c r="E103" s="92" t="s">
        <v>0</v>
      </c>
      <c r="F103" s="18">
        <f>151389+58275.13+3092.38+5859.69+37033.92+40079.55+58489.2+23942.21+154247.63+17504.55+120436.26</f>
        <v>670349.52</v>
      </c>
      <c r="G103" s="92" t="s">
        <v>2429</v>
      </c>
      <c r="H103" s="25" t="s">
        <v>41</v>
      </c>
      <c r="I103" s="25" t="s">
        <v>2430</v>
      </c>
      <c r="J103" s="18">
        <v>0</v>
      </c>
    </row>
    <row r="104" spans="1:10" ht="51" x14ac:dyDescent="0.2">
      <c r="A104" s="25">
        <v>98</v>
      </c>
      <c r="B104" s="92" t="s">
        <v>2431</v>
      </c>
      <c r="C104" s="25" t="s">
        <v>1290</v>
      </c>
      <c r="D104" s="25" t="s">
        <v>4230</v>
      </c>
      <c r="E104" s="92" t="s">
        <v>0</v>
      </c>
      <c r="F104" s="18">
        <f>5885.88+21470.82+5969.67+58682.93+17879.9+28558.66+29054.03+36014.58+133933.91</f>
        <v>337450.38</v>
      </c>
      <c r="G104" s="92" t="s">
        <v>2432</v>
      </c>
      <c r="H104" s="25" t="s">
        <v>146</v>
      </c>
      <c r="I104" s="25" t="s">
        <v>2273</v>
      </c>
      <c r="J104" s="18">
        <v>0</v>
      </c>
    </row>
    <row r="105" spans="1:10" ht="51" x14ac:dyDescent="0.2">
      <c r="A105" s="25">
        <v>99</v>
      </c>
      <c r="B105" s="92" t="s">
        <v>2433</v>
      </c>
      <c r="C105" s="25" t="s">
        <v>1290</v>
      </c>
      <c r="D105" s="25" t="s">
        <v>4230</v>
      </c>
      <c r="E105" s="92" t="s">
        <v>0</v>
      </c>
      <c r="F105" s="18">
        <f>6586.34+6344.1+6094.99+5367.6+149449.4</f>
        <v>173842.43</v>
      </c>
      <c r="G105" s="92" t="s">
        <v>2434</v>
      </c>
      <c r="H105" s="25" t="s">
        <v>148</v>
      </c>
      <c r="I105" s="25" t="s">
        <v>2273</v>
      </c>
      <c r="J105" s="18">
        <v>0</v>
      </c>
    </row>
    <row r="106" spans="1:10" ht="51" x14ac:dyDescent="0.2">
      <c r="A106" s="25">
        <v>100</v>
      </c>
      <c r="B106" s="92" t="s">
        <v>2466</v>
      </c>
      <c r="C106" s="25" t="s">
        <v>1290</v>
      </c>
      <c r="D106" s="25" t="s">
        <v>4230</v>
      </c>
      <c r="E106" s="92" t="s">
        <v>0</v>
      </c>
      <c r="F106" s="18">
        <f>1405.53+22087.49+4999.05+39644.64+50364.94</f>
        <v>118501.65</v>
      </c>
      <c r="G106" s="92" t="s">
        <v>2435</v>
      </c>
      <c r="H106" s="25" t="s">
        <v>49</v>
      </c>
      <c r="I106" s="25" t="s">
        <v>2411</v>
      </c>
      <c r="J106" s="18">
        <v>0</v>
      </c>
    </row>
    <row r="107" spans="1:10" ht="63.75" x14ac:dyDescent="0.2">
      <c r="A107" s="25">
        <v>101</v>
      </c>
      <c r="B107" s="92" t="s">
        <v>2460</v>
      </c>
      <c r="C107" s="25" t="s">
        <v>1290</v>
      </c>
      <c r="D107" s="25" t="s">
        <v>4230</v>
      </c>
      <c r="E107" s="92" t="s">
        <v>1524</v>
      </c>
      <c r="F107" s="18">
        <f>(5400+2106+632+843+1144+1715+1650+1040+16250+3480+9680)*1.05</f>
        <v>46137</v>
      </c>
      <c r="G107" s="92" t="s">
        <v>2461</v>
      </c>
      <c r="H107" s="25" t="s">
        <v>41</v>
      </c>
      <c r="I107" s="25" t="s">
        <v>2411</v>
      </c>
      <c r="J107" s="18">
        <v>0</v>
      </c>
    </row>
    <row r="108" spans="1:10" ht="63.75" x14ac:dyDescent="0.2">
      <c r="A108" s="25">
        <v>102</v>
      </c>
      <c r="B108" s="92" t="s">
        <v>2462</v>
      </c>
      <c r="C108" s="25" t="s">
        <v>1290</v>
      </c>
      <c r="D108" s="25" t="s">
        <v>4230</v>
      </c>
      <c r="E108" s="92" t="s">
        <v>1524</v>
      </c>
      <c r="F108" s="18">
        <v>16791.39</v>
      </c>
      <c r="G108" s="92" t="s">
        <v>2463</v>
      </c>
      <c r="H108" s="25" t="s">
        <v>146</v>
      </c>
      <c r="I108" s="25" t="s">
        <v>2411</v>
      </c>
      <c r="J108" s="18">
        <v>0</v>
      </c>
    </row>
    <row r="109" spans="1:10" ht="63.75" x14ac:dyDescent="0.2">
      <c r="A109" s="25">
        <v>103</v>
      </c>
      <c r="B109" s="92" t="s">
        <v>2464</v>
      </c>
      <c r="C109" s="25" t="s">
        <v>1290</v>
      </c>
      <c r="D109" s="25" t="s">
        <v>4230</v>
      </c>
      <c r="E109" s="92" t="s">
        <v>1524</v>
      </c>
      <c r="F109" s="18">
        <v>1581.83</v>
      </c>
      <c r="G109" s="92" t="s">
        <v>2465</v>
      </c>
      <c r="H109" s="25" t="s">
        <v>148</v>
      </c>
      <c r="I109" s="25" t="s">
        <v>2411</v>
      </c>
      <c r="J109" s="18">
        <v>0</v>
      </c>
    </row>
    <row r="110" spans="1:10" ht="63.75" x14ac:dyDescent="0.2">
      <c r="A110" s="25">
        <v>104</v>
      </c>
      <c r="B110" s="92" t="s">
        <v>2467</v>
      </c>
      <c r="C110" s="25" t="s">
        <v>1290</v>
      </c>
      <c r="D110" s="25" t="s">
        <v>4230</v>
      </c>
      <c r="E110" s="92" t="s">
        <v>1524</v>
      </c>
      <c r="F110" s="18">
        <v>6067.95</v>
      </c>
      <c r="G110" s="92" t="s">
        <v>2468</v>
      </c>
      <c r="H110" s="25" t="s">
        <v>49</v>
      </c>
      <c r="I110" s="25" t="s">
        <v>2411</v>
      </c>
      <c r="J110" s="18">
        <v>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3"/>
  <sheetViews>
    <sheetView tabSelected="1" zoomScale="70" zoomScaleNormal="70" workbookViewId="0">
      <pane xSplit="1" ySplit="5" topLeftCell="B195" activePane="bottomRight" state="frozen"/>
      <selection pane="topRight" activeCell="B1" sqref="B1"/>
      <selection pane="bottomLeft" activeCell="A6" sqref="A6"/>
      <selection pane="bottomRight" activeCell="O434" sqref="O434"/>
    </sheetView>
  </sheetViews>
  <sheetFormatPr defaultRowHeight="12.75" x14ac:dyDescent="0.2"/>
  <cols>
    <col min="1" max="2" width="18.140625" customWidth="1"/>
    <col min="3" max="3" width="25.7109375" customWidth="1"/>
    <col min="4" max="4" width="43.5703125" style="164" customWidth="1"/>
    <col min="5" max="5" width="27.42578125" style="14" customWidth="1"/>
    <col min="6" max="6" width="15.42578125" style="7" bestFit="1" customWidth="1"/>
    <col min="7" max="7" width="18.5703125" style="7" customWidth="1"/>
    <col min="8" max="8" width="17.7109375" style="7" customWidth="1"/>
    <col min="9" max="9" width="22.42578125" style="58" customWidth="1"/>
    <col min="10" max="10" width="17.42578125" customWidth="1"/>
  </cols>
  <sheetData>
    <row r="1" spans="1:10" ht="15" x14ac:dyDescent="0.25">
      <c r="A1" s="61" t="s">
        <v>1612</v>
      </c>
      <c r="B1" s="61"/>
      <c r="C1" s="62"/>
      <c r="D1" s="163"/>
      <c r="E1" s="173"/>
      <c r="F1" s="63"/>
      <c r="G1" s="63"/>
      <c r="H1" s="63"/>
    </row>
    <row r="2" spans="1:10" ht="15" x14ac:dyDescent="0.25">
      <c r="A2" s="215" t="s">
        <v>1613</v>
      </c>
      <c r="B2" s="215"/>
      <c r="C2" s="215"/>
      <c r="D2" s="163"/>
      <c r="E2" s="173"/>
      <c r="F2" s="63"/>
      <c r="G2" s="63"/>
      <c r="H2" s="63"/>
    </row>
    <row r="3" spans="1:10" ht="15" x14ac:dyDescent="0.2">
      <c r="A3" s="216" t="s">
        <v>1621</v>
      </c>
      <c r="B3" s="216"/>
      <c r="C3" s="216"/>
      <c r="D3" s="216"/>
      <c r="E3" s="216"/>
      <c r="F3" s="216"/>
      <c r="G3" s="216"/>
      <c r="H3" s="216"/>
    </row>
    <row r="4" spans="1:10" x14ac:dyDescent="0.2">
      <c r="A4" s="7"/>
      <c r="B4" s="7"/>
    </row>
    <row r="5" spans="1:10" ht="30" x14ac:dyDescent="0.2">
      <c r="A5" s="66" t="s">
        <v>1614</v>
      </c>
      <c r="B5" s="66" t="s">
        <v>1636</v>
      </c>
      <c r="C5" s="66" t="s">
        <v>1615</v>
      </c>
      <c r="D5" s="60" t="s">
        <v>1616</v>
      </c>
      <c r="E5" s="60" t="s">
        <v>4167</v>
      </c>
      <c r="F5" s="60" t="s">
        <v>1619</v>
      </c>
      <c r="G5" s="60" t="s">
        <v>4168</v>
      </c>
      <c r="H5" s="60" t="s">
        <v>4169</v>
      </c>
      <c r="I5" s="68" t="s">
        <v>1623</v>
      </c>
      <c r="J5" s="68" t="s">
        <v>1633</v>
      </c>
    </row>
    <row r="6" spans="1:10" ht="38.25" customHeight="1" x14ac:dyDescent="0.2">
      <c r="A6" s="224" t="s">
        <v>1617</v>
      </c>
      <c r="B6" s="65">
        <v>1</v>
      </c>
      <c r="C6" s="64" t="s">
        <v>947</v>
      </c>
      <c r="D6" s="85" t="s">
        <v>1618</v>
      </c>
      <c r="E6" s="71" t="s">
        <v>1624</v>
      </c>
      <c r="F6" s="69" t="s">
        <v>1620</v>
      </c>
      <c r="G6" s="69" t="s">
        <v>1622</v>
      </c>
      <c r="H6" s="12" t="s">
        <v>1628</v>
      </c>
      <c r="I6" s="18">
        <f>787.5+300+75+14700+125</f>
        <v>15987.5</v>
      </c>
      <c r="J6" s="18" t="s">
        <v>1634</v>
      </c>
    </row>
    <row r="7" spans="1:10" ht="38.25" x14ac:dyDescent="0.2">
      <c r="A7" s="225"/>
      <c r="B7" s="65">
        <v>2</v>
      </c>
      <c r="C7" s="64" t="s">
        <v>947</v>
      </c>
      <c r="D7" s="85" t="s">
        <v>1625</v>
      </c>
      <c r="E7" s="71" t="s">
        <v>1629</v>
      </c>
      <c r="F7" s="69" t="s">
        <v>1627</v>
      </c>
      <c r="G7" s="69" t="s">
        <v>1626</v>
      </c>
      <c r="H7" s="12" t="s">
        <v>1628</v>
      </c>
      <c r="I7" s="18">
        <f>13860+5+15750+1750+3465+125+10500+20044.5+14175+937.5+5880</f>
        <v>86492</v>
      </c>
      <c r="J7" s="18" t="s">
        <v>1634</v>
      </c>
    </row>
    <row r="8" spans="1:10" ht="38.25" x14ac:dyDescent="0.2">
      <c r="A8" s="225"/>
      <c r="B8" s="65">
        <v>3</v>
      </c>
      <c r="C8" s="64" t="s">
        <v>947</v>
      </c>
      <c r="D8" s="85" t="s">
        <v>1630</v>
      </c>
      <c r="E8" s="71" t="s">
        <v>1632</v>
      </c>
      <c r="F8" s="69" t="s">
        <v>1631</v>
      </c>
      <c r="G8" s="69" t="s">
        <v>1635</v>
      </c>
      <c r="H8" s="12" t="s">
        <v>1628</v>
      </c>
      <c r="I8" s="18">
        <v>17962</v>
      </c>
      <c r="J8" s="18" t="s">
        <v>1634</v>
      </c>
    </row>
    <row r="9" spans="1:10" ht="38.25" x14ac:dyDescent="0.2">
      <c r="A9" s="225"/>
      <c r="B9" s="65">
        <v>4</v>
      </c>
      <c r="C9" s="64" t="s">
        <v>947</v>
      </c>
      <c r="D9" s="85" t="s">
        <v>1637</v>
      </c>
      <c r="E9" s="71" t="s">
        <v>1638</v>
      </c>
      <c r="F9" s="69" t="s">
        <v>1640</v>
      </c>
      <c r="G9" s="69" t="s">
        <v>1639</v>
      </c>
      <c r="H9" s="12" t="s">
        <v>1628</v>
      </c>
      <c r="I9" s="18">
        <f>15000+4620+6300+625+1575+9450+750+23520</f>
        <v>61840</v>
      </c>
      <c r="J9" s="18" t="s">
        <v>1634</v>
      </c>
    </row>
    <row r="10" spans="1:10" ht="38.25" x14ac:dyDescent="0.2">
      <c r="A10" s="225"/>
      <c r="B10" s="65">
        <v>5</v>
      </c>
      <c r="C10" s="64" t="s">
        <v>947</v>
      </c>
      <c r="D10" s="85" t="s">
        <v>1641</v>
      </c>
      <c r="E10" s="71" t="s">
        <v>1642</v>
      </c>
      <c r="F10" s="69"/>
      <c r="G10" s="69" t="s">
        <v>1643</v>
      </c>
      <c r="H10" s="12" t="s">
        <v>1628</v>
      </c>
      <c r="I10" s="18">
        <f>2000+15000+24500+495+2500+15625+20000+22500+375</f>
        <v>102995</v>
      </c>
      <c r="J10" s="18" t="s">
        <v>1634</v>
      </c>
    </row>
    <row r="11" spans="1:10" ht="38.25" x14ac:dyDescent="0.2">
      <c r="A11" s="225"/>
      <c r="B11" s="65">
        <v>6</v>
      </c>
      <c r="C11" s="64" t="s">
        <v>947</v>
      </c>
      <c r="D11" s="85" t="s">
        <v>1644</v>
      </c>
      <c r="E11" s="71" t="s">
        <v>1645</v>
      </c>
      <c r="F11" s="69" t="s">
        <v>1646</v>
      </c>
      <c r="G11" s="69" t="s">
        <v>1654</v>
      </c>
      <c r="H11" s="12" t="s">
        <v>1628</v>
      </c>
      <c r="I11" s="18">
        <v>72957.5</v>
      </c>
      <c r="J11" s="18" t="s">
        <v>1634</v>
      </c>
    </row>
    <row r="12" spans="1:10" ht="38.25" x14ac:dyDescent="0.2">
      <c r="A12" s="225"/>
      <c r="B12" s="65">
        <v>7</v>
      </c>
      <c r="C12" s="64" t="s">
        <v>947</v>
      </c>
      <c r="D12" s="85" t="s">
        <v>1656</v>
      </c>
      <c r="E12" s="71" t="s">
        <v>1657</v>
      </c>
      <c r="F12" s="69" t="s">
        <v>1655</v>
      </c>
      <c r="G12" s="69" t="s">
        <v>1658</v>
      </c>
      <c r="H12" s="12" t="s">
        <v>1628</v>
      </c>
      <c r="I12" s="18">
        <f>4800+750+15750+150+352.8+21802.8</f>
        <v>43605.599999999999</v>
      </c>
      <c r="J12" s="18" t="s">
        <v>1634</v>
      </c>
    </row>
    <row r="13" spans="1:10" ht="38.25" x14ac:dyDescent="0.2">
      <c r="A13" s="225"/>
      <c r="B13" s="65">
        <v>8</v>
      </c>
      <c r="C13" s="64" t="s">
        <v>45</v>
      </c>
      <c r="D13" s="85" t="s">
        <v>1618</v>
      </c>
      <c r="E13" s="71">
        <v>6</v>
      </c>
      <c r="F13" s="69" t="s">
        <v>1659</v>
      </c>
      <c r="G13" s="69" t="s">
        <v>1660</v>
      </c>
      <c r="H13" s="12" t="s">
        <v>1661</v>
      </c>
      <c r="I13" s="18">
        <v>14458.5</v>
      </c>
      <c r="J13" s="18" t="s">
        <v>1634</v>
      </c>
    </row>
    <row r="14" spans="1:10" ht="38.25" x14ac:dyDescent="0.2">
      <c r="A14" s="225"/>
      <c r="B14" s="65">
        <v>9</v>
      </c>
      <c r="C14" s="64" t="s">
        <v>45</v>
      </c>
      <c r="D14" s="85" t="s">
        <v>1625</v>
      </c>
      <c r="E14" s="71" t="s">
        <v>1682</v>
      </c>
      <c r="F14" s="69" t="s">
        <v>1627</v>
      </c>
      <c r="G14" s="69" t="s">
        <v>1681</v>
      </c>
      <c r="H14" s="12" t="s">
        <v>1661</v>
      </c>
      <c r="I14" s="18">
        <f>118077.75+27953.1+66042.38+48111+38652.5+8199.77+49531.85</f>
        <v>356568.35</v>
      </c>
      <c r="J14" s="18" t="s">
        <v>1634</v>
      </c>
    </row>
    <row r="15" spans="1:10" ht="38.25" x14ac:dyDescent="0.2">
      <c r="A15" s="225"/>
      <c r="B15" s="67">
        <v>10</v>
      </c>
      <c r="C15" s="64" t="s">
        <v>45</v>
      </c>
      <c r="D15" s="85" t="s">
        <v>1641</v>
      </c>
      <c r="E15" s="71" t="s">
        <v>1683</v>
      </c>
      <c r="F15" s="69"/>
      <c r="G15" s="69" t="s">
        <v>1684</v>
      </c>
      <c r="H15" s="12" t="s">
        <v>1661</v>
      </c>
      <c r="I15" s="18">
        <f>17212.5+3327.75+50929.88+17182.5+23007.5+9760.44+968802.38</f>
        <v>1090222.95</v>
      </c>
      <c r="J15" s="18" t="s">
        <v>1634</v>
      </c>
    </row>
    <row r="16" spans="1:10" ht="38.25" x14ac:dyDescent="0.2">
      <c r="A16" s="225"/>
      <c r="B16" s="67">
        <v>11</v>
      </c>
      <c r="C16" s="64" t="s">
        <v>45</v>
      </c>
      <c r="D16" s="85" t="s">
        <v>1630</v>
      </c>
      <c r="E16" s="71" t="s">
        <v>1685</v>
      </c>
      <c r="F16" s="69" t="s">
        <v>1686</v>
      </c>
      <c r="G16" s="69" t="s">
        <v>1687</v>
      </c>
      <c r="H16" s="12" t="s">
        <v>1661</v>
      </c>
      <c r="I16" s="18">
        <f>1204.88+1397.66+11717.03+5532.77</f>
        <v>19852.34</v>
      </c>
      <c r="J16" s="18" t="s">
        <v>1634</v>
      </c>
    </row>
    <row r="17" spans="1:10" ht="38.25" x14ac:dyDescent="0.2">
      <c r="A17" s="225"/>
      <c r="B17" s="67">
        <v>12</v>
      </c>
      <c r="C17" s="64" t="s">
        <v>45</v>
      </c>
      <c r="D17" s="85" t="s">
        <v>1637</v>
      </c>
      <c r="E17" s="71" t="s">
        <v>1685</v>
      </c>
      <c r="F17" s="69"/>
      <c r="G17" s="69" t="s">
        <v>1639</v>
      </c>
      <c r="H17" s="12" t="s">
        <v>1661</v>
      </c>
      <c r="I17" s="18">
        <f>36128.63+8659.98+3277.91+28917+5590</f>
        <v>82573.52</v>
      </c>
      <c r="J17" s="18" t="s">
        <v>1634</v>
      </c>
    </row>
    <row r="18" spans="1:10" ht="38.25" x14ac:dyDescent="0.2">
      <c r="A18" s="225"/>
      <c r="B18" s="67">
        <v>13</v>
      </c>
      <c r="C18" s="64" t="s">
        <v>45</v>
      </c>
      <c r="D18" s="85" t="s">
        <v>1656</v>
      </c>
      <c r="E18" s="71" t="s">
        <v>1688</v>
      </c>
      <c r="F18" s="69" t="s">
        <v>1689</v>
      </c>
      <c r="G18" s="69" t="s">
        <v>1658</v>
      </c>
      <c r="H18" s="12" t="s">
        <v>1661</v>
      </c>
      <c r="I18" s="18">
        <f>28917+24981.15+24055.5</f>
        <v>77953.649999999994</v>
      </c>
      <c r="J18" s="18" t="s">
        <v>1634</v>
      </c>
    </row>
    <row r="19" spans="1:10" ht="38.25" x14ac:dyDescent="0.2">
      <c r="A19" s="225"/>
      <c r="B19" s="67">
        <v>14</v>
      </c>
      <c r="C19" s="64" t="s">
        <v>45</v>
      </c>
      <c r="D19" s="85" t="s">
        <v>1644</v>
      </c>
      <c r="E19" s="71" t="s">
        <v>1690</v>
      </c>
      <c r="F19" s="69" t="s">
        <v>1691</v>
      </c>
      <c r="G19" s="69" t="s">
        <v>1654</v>
      </c>
      <c r="H19" s="12" t="s">
        <v>1661</v>
      </c>
      <c r="I19" s="18">
        <f>96390+210362+19244.4+38652.6+22959.35+23468.09</f>
        <v>411076.44</v>
      </c>
      <c r="J19" s="18" t="s">
        <v>1634</v>
      </c>
    </row>
    <row r="20" spans="1:10" ht="38.25" x14ac:dyDescent="0.2">
      <c r="A20" s="225"/>
      <c r="B20" s="67">
        <v>15</v>
      </c>
      <c r="C20" s="64" t="s">
        <v>45</v>
      </c>
      <c r="D20" s="85" t="s">
        <v>1692</v>
      </c>
      <c r="E20" s="71" t="s">
        <v>1693</v>
      </c>
      <c r="F20" s="69"/>
      <c r="G20" s="69" t="s">
        <v>1694</v>
      </c>
      <c r="H20" s="12" t="s">
        <v>1661</v>
      </c>
      <c r="I20" s="18">
        <v>26198.89</v>
      </c>
      <c r="J20" s="18" t="s">
        <v>1634</v>
      </c>
    </row>
    <row r="21" spans="1:10" ht="38.25" x14ac:dyDescent="0.2">
      <c r="A21" s="225"/>
      <c r="B21" s="67">
        <v>16</v>
      </c>
      <c r="C21" s="64" t="s">
        <v>947</v>
      </c>
      <c r="D21" s="85" t="s">
        <v>1692</v>
      </c>
      <c r="E21" s="71" t="s">
        <v>1695</v>
      </c>
      <c r="F21" s="69"/>
      <c r="G21" s="69" t="s">
        <v>1694</v>
      </c>
      <c r="H21" s="12" t="s">
        <v>1628</v>
      </c>
      <c r="I21" s="18">
        <f>54182.5</f>
        <v>54182.5</v>
      </c>
      <c r="J21" s="18" t="s">
        <v>1634</v>
      </c>
    </row>
    <row r="22" spans="1:10" ht="38.25" x14ac:dyDescent="0.2">
      <c r="A22" s="225"/>
      <c r="B22" s="67">
        <v>17</v>
      </c>
      <c r="C22" s="64" t="s">
        <v>230</v>
      </c>
      <c r="D22" s="85" t="s">
        <v>1625</v>
      </c>
      <c r="E22" s="71">
        <v>15</v>
      </c>
      <c r="F22" s="69" t="s">
        <v>1627</v>
      </c>
      <c r="G22" s="69" t="s">
        <v>1696</v>
      </c>
      <c r="H22" s="12" t="s">
        <v>1697</v>
      </c>
      <c r="I22" s="18">
        <v>34356</v>
      </c>
      <c r="J22" s="18" t="s">
        <v>1634</v>
      </c>
    </row>
    <row r="23" spans="1:10" ht="38.25" x14ac:dyDescent="0.2">
      <c r="A23" s="225"/>
      <c r="B23" s="67">
        <v>18</v>
      </c>
      <c r="C23" s="64" t="s">
        <v>230</v>
      </c>
      <c r="D23" s="85" t="s">
        <v>1618</v>
      </c>
      <c r="E23" s="71">
        <v>15</v>
      </c>
      <c r="F23" s="69" t="s">
        <v>1698</v>
      </c>
      <c r="G23" s="69" t="s">
        <v>1660</v>
      </c>
      <c r="H23" s="12" t="s">
        <v>1697</v>
      </c>
      <c r="I23" s="18">
        <v>12024.6</v>
      </c>
      <c r="J23" s="18" t="s">
        <v>1634</v>
      </c>
    </row>
    <row r="24" spans="1:10" ht="38.25" x14ac:dyDescent="0.2">
      <c r="A24" s="225"/>
      <c r="B24" s="67">
        <v>19</v>
      </c>
      <c r="C24" s="64" t="s">
        <v>230</v>
      </c>
      <c r="D24" s="85" t="s">
        <v>1644</v>
      </c>
      <c r="E24" s="71">
        <v>15</v>
      </c>
      <c r="F24" s="69" t="s">
        <v>1699</v>
      </c>
      <c r="G24" s="69" t="s">
        <v>1654</v>
      </c>
      <c r="H24" s="12" t="s">
        <v>1697</v>
      </c>
      <c r="I24" s="18">
        <v>2748.48</v>
      </c>
      <c r="J24" s="18" t="s">
        <v>1634</v>
      </c>
    </row>
    <row r="25" spans="1:10" ht="38.25" x14ac:dyDescent="0.2">
      <c r="A25" s="225"/>
      <c r="B25" s="67">
        <v>20</v>
      </c>
      <c r="C25" s="64" t="s">
        <v>230</v>
      </c>
      <c r="D25" s="85" t="s">
        <v>1692</v>
      </c>
      <c r="E25" s="71">
        <v>15</v>
      </c>
      <c r="F25" s="69"/>
      <c r="G25" s="69" t="s">
        <v>1694</v>
      </c>
      <c r="H25" s="12" t="s">
        <v>1697</v>
      </c>
      <c r="I25" s="18">
        <v>206.14</v>
      </c>
      <c r="J25" s="18" t="s">
        <v>1634</v>
      </c>
    </row>
    <row r="26" spans="1:10" ht="38.25" x14ac:dyDescent="0.2">
      <c r="A26" s="225"/>
      <c r="B26" s="71">
        <v>21</v>
      </c>
      <c r="C26" s="64" t="s">
        <v>78</v>
      </c>
      <c r="D26" s="85" t="s">
        <v>1644</v>
      </c>
      <c r="E26" s="71">
        <v>24</v>
      </c>
      <c r="F26" s="69" t="s">
        <v>1700</v>
      </c>
      <c r="G26" s="69" t="s">
        <v>1654</v>
      </c>
      <c r="H26" s="12" t="s">
        <v>1701</v>
      </c>
      <c r="I26" s="18">
        <v>52983</v>
      </c>
      <c r="J26" s="18" t="s">
        <v>1634</v>
      </c>
    </row>
    <row r="27" spans="1:10" ht="38.25" x14ac:dyDescent="0.2">
      <c r="A27" s="225"/>
      <c r="B27" s="71">
        <v>22</v>
      </c>
      <c r="C27" s="64" t="s">
        <v>78</v>
      </c>
      <c r="D27" s="85" t="s">
        <v>1625</v>
      </c>
      <c r="E27" s="71" t="s">
        <v>1703</v>
      </c>
      <c r="F27" s="69" t="s">
        <v>1627</v>
      </c>
      <c r="G27" s="69" t="s">
        <v>1702</v>
      </c>
      <c r="H27" s="12" t="s">
        <v>1704</v>
      </c>
      <c r="I27" s="18">
        <f>13245.75+5925</f>
        <v>19170.75</v>
      </c>
      <c r="J27" s="18" t="s">
        <v>1634</v>
      </c>
    </row>
    <row r="28" spans="1:10" ht="38.25" x14ac:dyDescent="0.2">
      <c r="A28" s="225"/>
      <c r="B28" s="71">
        <v>23</v>
      </c>
      <c r="C28" s="64" t="s">
        <v>78</v>
      </c>
      <c r="D28" s="85" t="s">
        <v>1630</v>
      </c>
      <c r="E28" s="71" t="s">
        <v>1703</v>
      </c>
      <c r="F28" s="69" t="s">
        <v>1705</v>
      </c>
      <c r="G28" s="69" t="s">
        <v>1706</v>
      </c>
      <c r="H28" s="12" t="s">
        <v>1704</v>
      </c>
      <c r="I28" s="18">
        <f>2649.15+197.5</f>
        <v>2846.65</v>
      </c>
      <c r="J28" s="18" t="s">
        <v>1634</v>
      </c>
    </row>
    <row r="29" spans="1:10" ht="38.25" x14ac:dyDescent="0.2">
      <c r="A29" s="225"/>
      <c r="B29" s="71">
        <v>24</v>
      </c>
      <c r="C29" s="64" t="s">
        <v>78</v>
      </c>
      <c r="D29" s="85" t="s">
        <v>1641</v>
      </c>
      <c r="E29" s="71" t="s">
        <v>1703</v>
      </c>
      <c r="F29" s="69"/>
      <c r="G29" s="69" t="s">
        <v>1643</v>
      </c>
      <c r="H29" s="12" t="s">
        <v>1704</v>
      </c>
      <c r="I29" s="18">
        <v>35487.5</v>
      </c>
      <c r="J29" s="18" t="s">
        <v>1634</v>
      </c>
    </row>
    <row r="30" spans="1:10" ht="38.25" x14ac:dyDescent="0.2">
      <c r="A30" s="225"/>
      <c r="B30" s="71">
        <v>25</v>
      </c>
      <c r="C30" s="64" t="s">
        <v>931</v>
      </c>
      <c r="D30" s="85" t="s">
        <v>1618</v>
      </c>
      <c r="E30" s="71">
        <v>28</v>
      </c>
      <c r="F30" s="69" t="s">
        <v>1707</v>
      </c>
      <c r="G30" s="69" t="s">
        <v>1660</v>
      </c>
      <c r="H30" s="12" t="s">
        <v>1704</v>
      </c>
      <c r="I30" s="18">
        <v>36370</v>
      </c>
      <c r="J30" s="18" t="s">
        <v>1634</v>
      </c>
    </row>
    <row r="31" spans="1:10" ht="38.25" x14ac:dyDescent="0.2">
      <c r="A31" s="225"/>
      <c r="B31" s="71">
        <v>26</v>
      </c>
      <c r="C31" s="64" t="s">
        <v>931</v>
      </c>
      <c r="D31" s="85" t="s">
        <v>1637</v>
      </c>
      <c r="E31" s="71" t="s">
        <v>1708</v>
      </c>
      <c r="F31" s="69"/>
      <c r="G31" s="69" t="s">
        <v>1639</v>
      </c>
      <c r="H31" s="12" t="s">
        <v>1704</v>
      </c>
      <c r="I31" s="18">
        <f>109110+8954</f>
        <v>118064</v>
      </c>
      <c r="J31" s="18" t="s">
        <v>1634</v>
      </c>
    </row>
    <row r="32" spans="1:10" ht="38.25" x14ac:dyDescent="0.2">
      <c r="A32" s="225"/>
      <c r="B32" s="71">
        <v>27</v>
      </c>
      <c r="C32" s="64" t="s">
        <v>931</v>
      </c>
      <c r="D32" s="85" t="s">
        <v>1692</v>
      </c>
      <c r="E32" s="71">
        <v>28</v>
      </c>
      <c r="F32" s="69">
        <v>32</v>
      </c>
      <c r="G32" s="69" t="s">
        <v>1709</v>
      </c>
      <c r="H32" s="12" t="s">
        <v>1704</v>
      </c>
      <c r="I32" s="18">
        <f>63647.5</f>
        <v>63647.5</v>
      </c>
      <c r="J32" s="18" t="s">
        <v>1634</v>
      </c>
    </row>
    <row r="33" spans="1:10" ht="38.25" x14ac:dyDescent="0.2">
      <c r="A33" s="225"/>
      <c r="B33" s="71">
        <v>28</v>
      </c>
      <c r="C33" s="64" t="s">
        <v>931</v>
      </c>
      <c r="D33" s="85" t="s">
        <v>1625</v>
      </c>
      <c r="E33" s="71" t="s">
        <v>1710</v>
      </c>
      <c r="F33" s="69" t="s">
        <v>1627</v>
      </c>
      <c r="G33" s="69" t="s">
        <v>1711</v>
      </c>
      <c r="H33" s="12" t="s">
        <v>1701</v>
      </c>
      <c r="I33" s="18">
        <f>163665+2264.75+22385</f>
        <v>188314.75</v>
      </c>
      <c r="J33" s="18" t="s">
        <v>1634</v>
      </c>
    </row>
    <row r="34" spans="1:10" ht="38.25" x14ac:dyDescent="0.2">
      <c r="A34" s="225"/>
      <c r="B34" s="71">
        <v>29</v>
      </c>
      <c r="C34" s="64" t="s">
        <v>931</v>
      </c>
      <c r="D34" s="85" t="s">
        <v>1630</v>
      </c>
      <c r="E34" s="71" t="s">
        <v>1710</v>
      </c>
      <c r="F34" s="69" t="s">
        <v>1712</v>
      </c>
      <c r="G34" s="69" t="s">
        <v>1706</v>
      </c>
      <c r="H34" s="12" t="s">
        <v>1701</v>
      </c>
      <c r="I34" s="18">
        <f>17525.1+45170+2238.5</f>
        <v>64933.599999999999</v>
      </c>
      <c r="J34" s="18" t="s">
        <v>1634</v>
      </c>
    </row>
    <row r="35" spans="1:10" ht="38.25" x14ac:dyDescent="0.2">
      <c r="A35" s="225"/>
      <c r="B35" s="71">
        <v>30</v>
      </c>
      <c r="C35" s="64" t="s">
        <v>931</v>
      </c>
      <c r="D35" s="85" t="s">
        <v>1641</v>
      </c>
      <c r="E35" s="71" t="s">
        <v>1708</v>
      </c>
      <c r="F35" s="69"/>
      <c r="G35" s="69" t="s">
        <v>1643</v>
      </c>
      <c r="H35" s="12" t="s">
        <v>1704</v>
      </c>
      <c r="I35" s="18">
        <v>65747.5</v>
      </c>
      <c r="J35" s="18" t="s">
        <v>1634</v>
      </c>
    </row>
    <row r="36" spans="1:10" ht="38.25" x14ac:dyDescent="0.2">
      <c r="A36" s="225"/>
      <c r="B36" s="71">
        <v>31</v>
      </c>
      <c r="C36" s="64" t="s">
        <v>1713</v>
      </c>
      <c r="D36" s="85" t="s">
        <v>1625</v>
      </c>
      <c r="E36" s="71">
        <v>46</v>
      </c>
      <c r="F36" s="69" t="s">
        <v>1627</v>
      </c>
      <c r="G36" s="69" t="s">
        <v>1714</v>
      </c>
      <c r="H36" s="12" t="s">
        <v>1715</v>
      </c>
      <c r="I36" s="18">
        <v>262.5</v>
      </c>
      <c r="J36" s="18" t="s">
        <v>1634</v>
      </c>
    </row>
    <row r="37" spans="1:10" ht="38.25" x14ac:dyDescent="0.2">
      <c r="A37" s="225"/>
      <c r="B37" s="71">
        <v>32</v>
      </c>
      <c r="C37" s="64" t="s">
        <v>1713</v>
      </c>
      <c r="D37" s="85" t="s">
        <v>1644</v>
      </c>
      <c r="E37" s="71">
        <v>46</v>
      </c>
      <c r="F37" s="69" t="s">
        <v>1716</v>
      </c>
      <c r="G37" s="69" t="s">
        <v>1654</v>
      </c>
      <c r="H37" s="12" t="s">
        <v>1715</v>
      </c>
      <c r="I37" s="18">
        <v>525</v>
      </c>
      <c r="J37" s="18" t="s">
        <v>1634</v>
      </c>
    </row>
    <row r="38" spans="1:10" ht="38.25" x14ac:dyDescent="0.2">
      <c r="A38" s="225"/>
      <c r="B38" s="71">
        <v>33</v>
      </c>
      <c r="C38" s="64" t="s">
        <v>1713</v>
      </c>
      <c r="D38" s="85" t="s">
        <v>1637</v>
      </c>
      <c r="E38" s="71">
        <v>46</v>
      </c>
      <c r="F38" s="69"/>
      <c r="G38" s="69" t="s">
        <v>1639</v>
      </c>
      <c r="H38" s="12" t="s">
        <v>1701</v>
      </c>
      <c r="I38" s="18">
        <v>227.5</v>
      </c>
      <c r="J38" s="18" t="s">
        <v>1634</v>
      </c>
    </row>
    <row r="39" spans="1:10" ht="38.25" x14ac:dyDescent="0.2">
      <c r="A39" s="225"/>
      <c r="B39" s="71">
        <v>34</v>
      </c>
      <c r="C39" s="64" t="s">
        <v>1713</v>
      </c>
      <c r="D39" s="85" t="s">
        <v>1630</v>
      </c>
      <c r="E39" s="71">
        <v>46</v>
      </c>
      <c r="F39" s="69" t="s">
        <v>1717</v>
      </c>
      <c r="G39" s="69" t="s">
        <v>1718</v>
      </c>
      <c r="H39" s="12" t="s">
        <v>1715</v>
      </c>
      <c r="I39" s="18">
        <v>8.75</v>
      </c>
      <c r="J39" s="18" t="s">
        <v>1634</v>
      </c>
    </row>
    <row r="40" spans="1:10" ht="38.25" x14ac:dyDescent="0.2">
      <c r="A40" s="225"/>
      <c r="B40" s="71">
        <v>35</v>
      </c>
      <c r="C40" s="64" t="s">
        <v>1713</v>
      </c>
      <c r="D40" s="85" t="s">
        <v>1618</v>
      </c>
      <c r="E40" s="71">
        <v>46</v>
      </c>
      <c r="F40" s="69" t="s">
        <v>1719</v>
      </c>
      <c r="G40" s="69" t="s">
        <v>1660</v>
      </c>
      <c r="H40" s="12" t="s">
        <v>1715</v>
      </c>
      <c r="I40" s="18">
        <v>437.5</v>
      </c>
      <c r="J40" s="18" t="s">
        <v>1634</v>
      </c>
    </row>
    <row r="41" spans="1:10" ht="38.25" x14ac:dyDescent="0.2">
      <c r="A41" s="225"/>
      <c r="B41" s="71">
        <v>36</v>
      </c>
      <c r="C41" s="64" t="s">
        <v>724</v>
      </c>
      <c r="D41" s="85" t="s">
        <v>1625</v>
      </c>
      <c r="E41" s="71">
        <v>47</v>
      </c>
      <c r="F41" s="69" t="s">
        <v>1627</v>
      </c>
      <c r="G41" s="69" t="s">
        <v>1721</v>
      </c>
      <c r="H41" s="12" t="s">
        <v>1720</v>
      </c>
      <c r="I41" s="18">
        <v>825</v>
      </c>
      <c r="J41" s="18" t="s">
        <v>1634</v>
      </c>
    </row>
    <row r="42" spans="1:10" ht="38.25" x14ac:dyDescent="0.2">
      <c r="A42" s="225"/>
      <c r="B42" s="71">
        <v>37</v>
      </c>
      <c r="C42" s="64" t="s">
        <v>724</v>
      </c>
      <c r="D42" s="85" t="s">
        <v>1630</v>
      </c>
      <c r="E42" s="71">
        <v>47</v>
      </c>
      <c r="F42" s="69" t="s">
        <v>1722</v>
      </c>
      <c r="G42" s="69" t="s">
        <v>1723</v>
      </c>
      <c r="H42" s="12" t="s">
        <v>1720</v>
      </c>
      <c r="I42" s="18">
        <v>825</v>
      </c>
      <c r="J42" s="18" t="s">
        <v>1634</v>
      </c>
    </row>
    <row r="43" spans="1:10" ht="38.25" x14ac:dyDescent="0.2">
      <c r="A43" s="225"/>
      <c r="B43" s="71">
        <v>38</v>
      </c>
      <c r="C43" s="64" t="s">
        <v>724</v>
      </c>
      <c r="D43" s="85" t="s">
        <v>1644</v>
      </c>
      <c r="E43" s="71">
        <v>47</v>
      </c>
      <c r="F43" s="69" t="s">
        <v>1724</v>
      </c>
      <c r="G43" s="69" t="s">
        <v>1654</v>
      </c>
      <c r="H43" s="12" t="s">
        <v>1720</v>
      </c>
      <c r="I43" s="18">
        <v>1650</v>
      </c>
      <c r="J43" s="18" t="s">
        <v>1634</v>
      </c>
    </row>
    <row r="44" spans="1:10" ht="38.25" x14ac:dyDescent="0.2">
      <c r="A44" s="225"/>
      <c r="B44" s="71">
        <v>39</v>
      </c>
      <c r="C44" s="64" t="s">
        <v>724</v>
      </c>
      <c r="D44" s="85" t="s">
        <v>1637</v>
      </c>
      <c r="E44" s="71">
        <v>47</v>
      </c>
      <c r="F44" s="69"/>
      <c r="G44" s="70" t="s">
        <v>1639</v>
      </c>
      <c r="H44" s="12" t="s">
        <v>1720</v>
      </c>
      <c r="I44" s="18">
        <v>1375</v>
      </c>
      <c r="J44" s="18" t="s">
        <v>1634</v>
      </c>
    </row>
    <row r="45" spans="1:10" ht="38.25" x14ac:dyDescent="0.2">
      <c r="A45" s="225"/>
      <c r="B45" s="71">
        <v>40</v>
      </c>
      <c r="C45" s="64" t="s">
        <v>78</v>
      </c>
      <c r="D45" s="85" t="s">
        <v>1637</v>
      </c>
      <c r="E45" s="71">
        <v>52</v>
      </c>
      <c r="F45" s="69"/>
      <c r="G45" s="69" t="s">
        <v>1639</v>
      </c>
      <c r="H45" s="12" t="s">
        <v>1701</v>
      </c>
      <c r="I45" s="18">
        <v>592.5</v>
      </c>
      <c r="J45" s="18" t="s">
        <v>1634</v>
      </c>
    </row>
    <row r="46" spans="1:10" ht="38.25" x14ac:dyDescent="0.2">
      <c r="A46" s="225"/>
      <c r="B46" s="71">
        <v>41</v>
      </c>
      <c r="C46" s="64" t="s">
        <v>931</v>
      </c>
      <c r="D46" s="85" t="s">
        <v>1749</v>
      </c>
      <c r="E46" s="71">
        <v>28</v>
      </c>
      <c r="F46" s="69"/>
      <c r="G46" s="69" t="s">
        <v>1711</v>
      </c>
      <c r="H46" s="12" t="s">
        <v>1661</v>
      </c>
      <c r="I46" s="74">
        <v>127420</v>
      </c>
      <c r="J46" s="18" t="s">
        <v>1634</v>
      </c>
    </row>
    <row r="47" spans="1:10" ht="38.25" x14ac:dyDescent="0.2">
      <c r="A47" s="225"/>
      <c r="B47" s="71">
        <v>42</v>
      </c>
      <c r="C47" s="64" t="s">
        <v>947</v>
      </c>
      <c r="D47" s="85" t="s">
        <v>1749</v>
      </c>
      <c r="E47" s="71" t="s">
        <v>1750</v>
      </c>
      <c r="F47" s="69"/>
      <c r="G47" s="69" t="s">
        <v>1643</v>
      </c>
      <c r="H47" s="12" t="s">
        <v>1628</v>
      </c>
      <c r="I47" s="74">
        <f>400+2310+25200+35000+1732.5+250+2625+7875+28350+1500+29400</f>
        <v>134642.5</v>
      </c>
      <c r="J47" s="18" t="s">
        <v>1634</v>
      </c>
    </row>
    <row r="48" spans="1:10" ht="38.25" x14ac:dyDescent="0.2">
      <c r="A48" s="225"/>
      <c r="B48" s="71">
        <v>43</v>
      </c>
      <c r="C48" s="64" t="s">
        <v>45</v>
      </c>
      <c r="D48" s="85" t="s">
        <v>1749</v>
      </c>
      <c r="E48" s="71" t="s">
        <v>1751</v>
      </c>
      <c r="F48" s="69"/>
      <c r="G48" s="69" t="s">
        <v>1643</v>
      </c>
      <c r="H48" s="12" t="s">
        <v>1661</v>
      </c>
      <c r="I48" s="74">
        <f>27953.1+31000+4811.1+11595.78+16387.04+32720.63</f>
        <v>124467.65</v>
      </c>
      <c r="J48" s="18" t="s">
        <v>1634</v>
      </c>
    </row>
    <row r="49" spans="1:10" ht="38.25" x14ac:dyDescent="0.2">
      <c r="A49" s="225"/>
      <c r="B49" s="71">
        <v>44</v>
      </c>
      <c r="C49" s="64" t="s">
        <v>931</v>
      </c>
      <c r="D49" s="85" t="s">
        <v>1644</v>
      </c>
      <c r="E49" s="71" t="s">
        <v>1752</v>
      </c>
      <c r="F49" s="69"/>
      <c r="G49" s="69" t="s">
        <v>1654</v>
      </c>
      <c r="H49" s="12" t="s">
        <v>1704</v>
      </c>
      <c r="I49" s="74">
        <f>418255+67942.5</f>
        <v>486197.5</v>
      </c>
      <c r="J49" s="18" t="s">
        <v>1634</v>
      </c>
    </row>
    <row r="50" spans="1:10" ht="38.25" x14ac:dyDescent="0.2">
      <c r="A50" s="225"/>
      <c r="B50" s="71">
        <v>45</v>
      </c>
      <c r="C50" s="64" t="s">
        <v>947</v>
      </c>
      <c r="D50" s="85" t="s">
        <v>2142</v>
      </c>
      <c r="E50" s="71" t="s">
        <v>2143</v>
      </c>
      <c r="F50" s="69"/>
      <c r="G50" s="69" t="s">
        <v>1654</v>
      </c>
      <c r="H50" s="80" t="s">
        <v>1628</v>
      </c>
      <c r="I50" s="74">
        <v>17667.5</v>
      </c>
      <c r="J50" s="18" t="s">
        <v>1634</v>
      </c>
    </row>
    <row r="51" spans="1:10" ht="38.25" x14ac:dyDescent="0.2">
      <c r="A51" s="225"/>
      <c r="B51" s="71">
        <v>46</v>
      </c>
      <c r="C51" s="64" t="s">
        <v>45</v>
      </c>
      <c r="D51" s="85" t="s">
        <v>2142</v>
      </c>
      <c r="E51" s="71" t="s">
        <v>1688</v>
      </c>
      <c r="F51" s="69"/>
      <c r="G51" s="69" t="s">
        <v>2144</v>
      </c>
      <c r="H51" s="80" t="s">
        <v>1661</v>
      </c>
      <c r="I51" s="74">
        <v>60828.53</v>
      </c>
      <c r="J51" s="18" t="s">
        <v>1634</v>
      </c>
    </row>
    <row r="52" spans="1:10" ht="38.25" x14ac:dyDescent="0.2">
      <c r="A52" s="225"/>
      <c r="B52" s="71">
        <v>47</v>
      </c>
      <c r="C52" s="64" t="s">
        <v>931</v>
      </c>
      <c r="D52" s="85" t="s">
        <v>2142</v>
      </c>
      <c r="E52" s="71">
        <v>28</v>
      </c>
      <c r="F52" s="69"/>
      <c r="G52" s="69" t="s">
        <v>2145</v>
      </c>
      <c r="H52" s="80" t="s">
        <v>1704</v>
      </c>
      <c r="I52" s="74">
        <v>63647.35</v>
      </c>
      <c r="J52" s="18" t="s">
        <v>1634</v>
      </c>
    </row>
    <row r="53" spans="1:10" ht="38.25" x14ac:dyDescent="0.2">
      <c r="A53" s="225"/>
      <c r="B53" s="71">
        <v>48</v>
      </c>
      <c r="C53" s="64" t="s">
        <v>947</v>
      </c>
      <c r="D53" s="85" t="s">
        <v>2146</v>
      </c>
      <c r="E53" s="71" t="s">
        <v>2147</v>
      </c>
      <c r="F53" s="69"/>
      <c r="G53" s="69" t="s">
        <v>2148</v>
      </c>
      <c r="H53" s="80" t="s">
        <v>1628</v>
      </c>
      <c r="I53" s="74">
        <v>17495</v>
      </c>
      <c r="J53" s="18" t="s">
        <v>1634</v>
      </c>
    </row>
    <row r="54" spans="1:10" ht="38.25" x14ac:dyDescent="0.2">
      <c r="A54" s="225"/>
      <c r="B54" s="71">
        <v>49</v>
      </c>
      <c r="C54" s="64" t="s">
        <v>931</v>
      </c>
      <c r="D54" s="85" t="s">
        <v>2146</v>
      </c>
      <c r="E54" s="71">
        <v>28</v>
      </c>
      <c r="F54" s="69"/>
      <c r="G54" s="69" t="s">
        <v>2148</v>
      </c>
      <c r="H54" s="80" t="s">
        <v>1704</v>
      </c>
      <c r="I54" s="74">
        <v>181662.5</v>
      </c>
      <c r="J54" s="18" t="s">
        <v>1634</v>
      </c>
    </row>
    <row r="55" spans="1:10" ht="38.25" x14ac:dyDescent="0.2">
      <c r="A55" s="225"/>
      <c r="B55" s="71">
        <v>50</v>
      </c>
      <c r="C55" s="64" t="s">
        <v>45</v>
      </c>
      <c r="D55" s="85" t="s">
        <v>2146</v>
      </c>
      <c r="E55" s="71" t="s">
        <v>2149</v>
      </c>
      <c r="F55" s="69"/>
      <c r="G55" s="69" t="s">
        <v>2148</v>
      </c>
      <c r="H55" s="80" t="s">
        <v>1661</v>
      </c>
      <c r="I55" s="74">
        <v>31593</v>
      </c>
      <c r="J55" s="18" t="s">
        <v>1634</v>
      </c>
    </row>
    <row r="56" spans="1:10" ht="38.25" x14ac:dyDescent="0.2">
      <c r="A56" s="225"/>
      <c r="B56" s="71">
        <v>51</v>
      </c>
      <c r="C56" s="73" t="s">
        <v>1728</v>
      </c>
      <c r="D56" s="85" t="s">
        <v>1692</v>
      </c>
      <c r="E56" s="71" t="s">
        <v>2615</v>
      </c>
      <c r="F56" s="69"/>
      <c r="G56" s="69" t="s">
        <v>2616</v>
      </c>
      <c r="H56" s="92" t="s">
        <v>2617</v>
      </c>
      <c r="I56" s="74">
        <v>29214</v>
      </c>
      <c r="J56" s="18" t="s">
        <v>1634</v>
      </c>
    </row>
    <row r="57" spans="1:10" ht="51" x14ac:dyDescent="0.2">
      <c r="A57" s="225"/>
      <c r="B57" s="71">
        <v>52</v>
      </c>
      <c r="C57" s="73" t="s">
        <v>1728</v>
      </c>
      <c r="D57" s="85" t="s">
        <v>1641</v>
      </c>
      <c r="E57" s="71" t="s">
        <v>2667</v>
      </c>
      <c r="F57" s="69"/>
      <c r="G57" s="69" t="s">
        <v>2510</v>
      </c>
      <c r="H57" s="97" t="s">
        <v>2668</v>
      </c>
      <c r="I57" s="74">
        <v>389276.95</v>
      </c>
      <c r="J57" s="18" t="s">
        <v>1634</v>
      </c>
    </row>
    <row r="58" spans="1:10" ht="38.25" x14ac:dyDescent="0.2">
      <c r="A58" s="225"/>
      <c r="B58" s="71">
        <v>53</v>
      </c>
      <c r="C58" s="73" t="s">
        <v>947</v>
      </c>
      <c r="D58" s="85" t="s">
        <v>2788</v>
      </c>
      <c r="E58" s="71" t="s">
        <v>2789</v>
      </c>
      <c r="F58" s="69"/>
      <c r="G58" s="69" t="s">
        <v>1639</v>
      </c>
      <c r="H58" s="99" t="s">
        <v>2790</v>
      </c>
      <c r="I58" s="74">
        <v>91080</v>
      </c>
      <c r="J58" s="18" t="s">
        <v>1634</v>
      </c>
    </row>
    <row r="59" spans="1:10" ht="38.25" x14ac:dyDescent="0.2">
      <c r="A59" s="225"/>
      <c r="B59" s="71">
        <v>54</v>
      </c>
      <c r="C59" s="73" t="s">
        <v>78</v>
      </c>
      <c r="D59" s="85" t="s">
        <v>2788</v>
      </c>
      <c r="E59" s="71" t="s">
        <v>2791</v>
      </c>
      <c r="F59" s="69"/>
      <c r="G59" s="69" t="s">
        <v>1639</v>
      </c>
      <c r="H59" s="99" t="s">
        <v>2792</v>
      </c>
      <c r="I59" s="74">
        <v>57322.45</v>
      </c>
      <c r="J59" s="18" t="s">
        <v>1634</v>
      </c>
    </row>
    <row r="60" spans="1:10" ht="38.25" x14ac:dyDescent="0.2">
      <c r="A60" s="225"/>
      <c r="B60" s="71">
        <v>55</v>
      </c>
      <c r="C60" s="73" t="s">
        <v>1728</v>
      </c>
      <c r="D60" s="85" t="s">
        <v>2788</v>
      </c>
      <c r="E60" s="71" t="s">
        <v>2793</v>
      </c>
      <c r="F60" s="69"/>
      <c r="G60" s="69" t="s">
        <v>2794</v>
      </c>
      <c r="H60" s="99" t="s">
        <v>2795</v>
      </c>
      <c r="I60" s="74">
        <v>190172.23</v>
      </c>
      <c r="J60" s="18" t="s">
        <v>1634</v>
      </c>
    </row>
    <row r="61" spans="1:10" ht="38.25" x14ac:dyDescent="0.2">
      <c r="A61" s="225"/>
      <c r="B61" s="71">
        <v>56</v>
      </c>
      <c r="C61" s="73" t="s">
        <v>45</v>
      </c>
      <c r="D61" s="85" t="s">
        <v>2788</v>
      </c>
      <c r="E61" s="71" t="s">
        <v>2796</v>
      </c>
      <c r="F61" s="69"/>
      <c r="G61" s="69" t="s">
        <v>1639</v>
      </c>
      <c r="H61" s="99" t="s">
        <v>2797</v>
      </c>
      <c r="I61" s="74">
        <v>79712.91</v>
      </c>
      <c r="J61" s="18" t="s">
        <v>1634</v>
      </c>
    </row>
    <row r="62" spans="1:10" ht="38.25" x14ac:dyDescent="0.2">
      <c r="A62" s="225"/>
      <c r="B62" s="71">
        <v>57</v>
      </c>
      <c r="C62" s="73" t="s">
        <v>931</v>
      </c>
      <c r="D62" s="85" t="s">
        <v>2788</v>
      </c>
      <c r="E62" s="71" t="s">
        <v>1708</v>
      </c>
      <c r="F62" s="69"/>
      <c r="G62" s="69" t="s">
        <v>1711</v>
      </c>
      <c r="H62" s="99" t="s">
        <v>2806</v>
      </c>
      <c r="I62" s="74">
        <v>193042.5</v>
      </c>
      <c r="J62" s="18" t="s">
        <v>1634</v>
      </c>
    </row>
    <row r="63" spans="1:10" ht="38.25" x14ac:dyDescent="0.2">
      <c r="A63" s="225"/>
      <c r="B63" s="71">
        <v>58</v>
      </c>
      <c r="C63" s="64" t="s">
        <v>1713</v>
      </c>
      <c r="D63" s="85" t="s">
        <v>2788</v>
      </c>
      <c r="E63" s="71">
        <v>46</v>
      </c>
      <c r="F63" s="69"/>
      <c r="G63" s="69" t="s">
        <v>2807</v>
      </c>
      <c r="H63" s="99" t="s">
        <v>2808</v>
      </c>
      <c r="I63" s="74">
        <v>175</v>
      </c>
      <c r="J63" s="18" t="s">
        <v>1634</v>
      </c>
    </row>
    <row r="64" spans="1:10" ht="38.25" x14ac:dyDescent="0.2">
      <c r="A64" s="225"/>
      <c r="B64" s="71">
        <v>59</v>
      </c>
      <c r="C64" s="103" t="s">
        <v>41</v>
      </c>
      <c r="D64" s="85" t="s">
        <v>2788</v>
      </c>
      <c r="E64" s="71" t="s">
        <v>3267</v>
      </c>
      <c r="F64" s="69"/>
      <c r="G64" s="69" t="s">
        <v>3248</v>
      </c>
      <c r="H64" s="101" t="s">
        <v>3268</v>
      </c>
      <c r="I64" s="74">
        <v>179358.16</v>
      </c>
      <c r="J64" s="18" t="s">
        <v>1634</v>
      </c>
    </row>
    <row r="65" spans="1:10" ht="38.25" x14ac:dyDescent="0.2">
      <c r="A65" s="225"/>
      <c r="B65" s="71">
        <v>60</v>
      </c>
      <c r="C65" s="103" t="s">
        <v>41</v>
      </c>
      <c r="D65" s="85" t="s">
        <v>1618</v>
      </c>
      <c r="E65" s="71">
        <v>7</v>
      </c>
      <c r="F65" s="69"/>
      <c r="G65" s="69" t="s">
        <v>2661</v>
      </c>
      <c r="H65" s="101" t="s">
        <v>3269</v>
      </c>
      <c r="I65" s="74">
        <v>9030</v>
      </c>
      <c r="J65" s="18" t="s">
        <v>1634</v>
      </c>
    </row>
    <row r="66" spans="1:10" ht="38.25" x14ac:dyDescent="0.2">
      <c r="A66" s="225"/>
      <c r="B66" s="71">
        <v>61</v>
      </c>
      <c r="C66" s="103" t="s">
        <v>41</v>
      </c>
      <c r="D66" s="85" t="s">
        <v>1618</v>
      </c>
      <c r="E66" s="71">
        <v>26</v>
      </c>
      <c r="F66" s="69"/>
      <c r="G66" s="69" t="s">
        <v>2661</v>
      </c>
      <c r="H66" s="101" t="s">
        <v>3269</v>
      </c>
      <c r="I66" s="74">
        <v>36027.5</v>
      </c>
      <c r="J66" s="18" t="s">
        <v>1634</v>
      </c>
    </row>
    <row r="67" spans="1:10" ht="38.25" x14ac:dyDescent="0.2">
      <c r="A67" s="225"/>
      <c r="B67" s="71">
        <v>62</v>
      </c>
      <c r="C67" s="103" t="s">
        <v>41</v>
      </c>
      <c r="D67" s="85" t="s">
        <v>2142</v>
      </c>
      <c r="E67" s="71">
        <v>26</v>
      </c>
      <c r="F67" s="69"/>
      <c r="G67" s="69" t="s">
        <v>2858</v>
      </c>
      <c r="H67" s="101" t="s">
        <v>3737</v>
      </c>
      <c r="I67" s="74">
        <v>27020.63</v>
      </c>
      <c r="J67" s="18" t="s">
        <v>1634</v>
      </c>
    </row>
    <row r="68" spans="1:10" ht="51" x14ac:dyDescent="0.2">
      <c r="A68" s="225"/>
      <c r="B68" s="71">
        <v>63</v>
      </c>
      <c r="C68" s="103" t="s">
        <v>41</v>
      </c>
      <c r="D68" s="85" t="s">
        <v>1641</v>
      </c>
      <c r="E68" s="71" t="s">
        <v>3738</v>
      </c>
      <c r="F68" s="69"/>
      <c r="G68" s="69" t="s">
        <v>3694</v>
      </c>
      <c r="H68" s="101" t="s">
        <v>3739</v>
      </c>
      <c r="I68" s="74">
        <v>20763.900000000001</v>
      </c>
      <c r="J68" s="18" t="s">
        <v>1634</v>
      </c>
    </row>
    <row r="69" spans="1:10" ht="51" x14ac:dyDescent="0.2">
      <c r="A69" s="225"/>
      <c r="B69" s="71">
        <v>64</v>
      </c>
      <c r="C69" s="103" t="s">
        <v>41</v>
      </c>
      <c r="D69" s="85" t="s">
        <v>1656</v>
      </c>
      <c r="E69" s="71">
        <v>26</v>
      </c>
      <c r="F69" s="69"/>
      <c r="G69" s="69" t="s">
        <v>2636</v>
      </c>
      <c r="H69" s="101" t="s">
        <v>3740</v>
      </c>
      <c r="I69" s="74">
        <v>9006.8799999999992</v>
      </c>
      <c r="J69" s="18" t="s">
        <v>1634</v>
      </c>
    </row>
    <row r="70" spans="1:10" ht="38.25" x14ac:dyDescent="0.2">
      <c r="A70" s="225"/>
      <c r="B70" s="71">
        <v>65</v>
      </c>
      <c r="C70" s="73" t="s">
        <v>1728</v>
      </c>
      <c r="D70" s="85" t="s">
        <v>3334</v>
      </c>
      <c r="E70" s="71" t="s">
        <v>3752</v>
      </c>
      <c r="F70" s="69"/>
      <c r="G70" s="69" t="s">
        <v>2654</v>
      </c>
      <c r="H70" s="101" t="s">
        <v>3753</v>
      </c>
      <c r="I70" s="74">
        <f>(49.5+91476)*1.05</f>
        <v>96101.775000000009</v>
      </c>
      <c r="J70" s="18" t="s">
        <v>1634</v>
      </c>
    </row>
    <row r="71" spans="1:10" ht="38.25" x14ac:dyDescent="0.2">
      <c r="A71" s="225"/>
      <c r="B71" s="71">
        <v>66</v>
      </c>
      <c r="C71" s="103" t="s">
        <v>41</v>
      </c>
      <c r="D71" s="85" t="s">
        <v>3334</v>
      </c>
      <c r="E71" s="71">
        <v>7</v>
      </c>
      <c r="F71" s="69"/>
      <c r="G71" s="69" t="s">
        <v>2825</v>
      </c>
      <c r="H71" s="101" t="s">
        <v>3754</v>
      </c>
      <c r="I71" s="74">
        <f>25800*1.05</f>
        <v>27090</v>
      </c>
      <c r="J71" s="18" t="s">
        <v>1634</v>
      </c>
    </row>
    <row r="72" spans="1:10" ht="38.25" x14ac:dyDescent="0.2">
      <c r="A72" s="225"/>
      <c r="B72" s="71">
        <v>67</v>
      </c>
      <c r="C72" s="103" t="s">
        <v>41</v>
      </c>
      <c r="D72" s="85" t="s">
        <v>1749</v>
      </c>
      <c r="E72" s="71" t="s">
        <v>3790</v>
      </c>
      <c r="F72" s="69"/>
      <c r="G72" s="69" t="s">
        <v>2858</v>
      </c>
      <c r="H72" s="101" t="s">
        <v>3737</v>
      </c>
      <c r="I72" s="74">
        <f>2187.5+1037.5+36027.5</f>
        <v>39252.5</v>
      </c>
      <c r="J72" s="18" t="s">
        <v>1634</v>
      </c>
    </row>
    <row r="73" spans="1:10" ht="38.25" x14ac:dyDescent="0.2">
      <c r="A73" s="225"/>
      <c r="B73" s="71">
        <v>68</v>
      </c>
      <c r="C73" s="73" t="s">
        <v>1728</v>
      </c>
      <c r="D73" s="85" t="s">
        <v>1749</v>
      </c>
      <c r="E73" s="71" t="s">
        <v>3791</v>
      </c>
      <c r="F73" s="69"/>
      <c r="G73" s="69" t="s">
        <v>2578</v>
      </c>
      <c r="H73" s="101" t="s">
        <v>3792</v>
      </c>
      <c r="I73" s="74">
        <f>1554+2856.81+43796.55+34618.5</f>
        <v>82825.86</v>
      </c>
      <c r="J73" s="18" t="s">
        <v>1634</v>
      </c>
    </row>
    <row r="74" spans="1:10" ht="38.25" x14ac:dyDescent="0.2">
      <c r="A74" s="225"/>
      <c r="B74" s="71">
        <v>69</v>
      </c>
      <c r="C74" s="103" t="s">
        <v>41</v>
      </c>
      <c r="D74" s="85" t="s">
        <v>1692</v>
      </c>
      <c r="E74" s="71" t="s">
        <v>3793</v>
      </c>
      <c r="F74" s="69"/>
      <c r="G74" s="69" t="s">
        <v>3694</v>
      </c>
      <c r="H74" s="101" t="s">
        <v>3794</v>
      </c>
      <c r="I74" s="74">
        <f>6086.12</f>
        <v>6086.12</v>
      </c>
      <c r="J74" s="18" t="s">
        <v>1634</v>
      </c>
    </row>
    <row r="75" spans="1:10" ht="38.25" x14ac:dyDescent="0.2">
      <c r="A75" s="225"/>
      <c r="B75" s="71">
        <v>70</v>
      </c>
      <c r="C75" s="73" t="s">
        <v>1728</v>
      </c>
      <c r="D75" s="85" t="s">
        <v>1625</v>
      </c>
      <c r="E75" s="71" t="s">
        <v>3795</v>
      </c>
      <c r="F75" s="69"/>
      <c r="G75" s="69" t="s">
        <v>2879</v>
      </c>
      <c r="H75" s="101" t="s">
        <v>3796</v>
      </c>
      <c r="I75" s="74">
        <f>5187+4662+40906.73+15324.75+4802.49+4481.4+6923.7</f>
        <v>82288.070000000007</v>
      </c>
      <c r="J75" s="18" t="s">
        <v>1634</v>
      </c>
    </row>
    <row r="76" spans="1:10" ht="38.25" x14ac:dyDescent="0.2">
      <c r="A76" s="225"/>
      <c r="B76" s="71">
        <v>71</v>
      </c>
      <c r="C76" s="103" t="s">
        <v>41</v>
      </c>
      <c r="D76" s="85" t="s">
        <v>1625</v>
      </c>
      <c r="E76" s="71" t="s">
        <v>3797</v>
      </c>
      <c r="F76" s="69"/>
      <c r="G76" s="69" t="s">
        <v>2956</v>
      </c>
      <c r="H76" s="101" t="s">
        <v>3798</v>
      </c>
      <c r="I76" s="74">
        <f>1093.75+2493.75+4515+518.75+135103.13+900.69+6195.31+4357.5</f>
        <v>155177.88</v>
      </c>
      <c r="J76" s="18" t="s">
        <v>1634</v>
      </c>
    </row>
    <row r="77" spans="1:10" ht="38.25" x14ac:dyDescent="0.2">
      <c r="A77" s="225"/>
      <c r="B77" s="71">
        <v>72</v>
      </c>
      <c r="C77" s="73" t="s">
        <v>931</v>
      </c>
      <c r="D77" s="85" t="s">
        <v>1644</v>
      </c>
      <c r="E77" s="71" t="s">
        <v>1752</v>
      </c>
      <c r="F77" s="69"/>
      <c r="G77" s="69" t="s">
        <v>1654</v>
      </c>
      <c r="H77" s="101" t="s">
        <v>3920</v>
      </c>
      <c r="I77" s="74">
        <v>418255</v>
      </c>
      <c r="J77" s="18" t="s">
        <v>1634</v>
      </c>
    </row>
    <row r="78" spans="1:10" ht="38.25" x14ac:dyDescent="0.2">
      <c r="A78" s="225"/>
      <c r="B78" s="71">
        <v>73</v>
      </c>
      <c r="C78" s="73" t="s">
        <v>1728</v>
      </c>
      <c r="D78" s="85" t="s">
        <v>1644</v>
      </c>
      <c r="E78" s="71" t="s">
        <v>3921</v>
      </c>
      <c r="F78" s="69"/>
      <c r="G78" s="69" t="s">
        <v>2517</v>
      </c>
      <c r="H78" s="101" t="s">
        <v>3922</v>
      </c>
      <c r="I78" s="74">
        <v>179762.03</v>
      </c>
      <c r="J78" s="18" t="s">
        <v>1634</v>
      </c>
    </row>
    <row r="79" spans="1:10" ht="38.25" x14ac:dyDescent="0.2">
      <c r="A79" s="225"/>
      <c r="B79" s="71">
        <v>74</v>
      </c>
      <c r="C79" s="103" t="s">
        <v>41</v>
      </c>
      <c r="D79" s="85" t="s">
        <v>3957</v>
      </c>
      <c r="E79" s="71">
        <v>26</v>
      </c>
      <c r="F79" s="69"/>
      <c r="G79" s="69" t="s">
        <v>3694</v>
      </c>
      <c r="H79" s="101" t="s">
        <v>3794</v>
      </c>
      <c r="I79" s="74">
        <v>18013.75</v>
      </c>
      <c r="J79" s="18" t="s">
        <v>1634</v>
      </c>
    </row>
    <row r="80" spans="1:10" ht="38.25" x14ac:dyDescent="0.2">
      <c r="A80" s="225"/>
      <c r="B80" s="71">
        <v>75</v>
      </c>
      <c r="C80" s="73" t="s">
        <v>931</v>
      </c>
      <c r="D80" s="85" t="s">
        <v>3957</v>
      </c>
      <c r="E80" s="71">
        <v>28</v>
      </c>
      <c r="F80" s="69"/>
      <c r="G80" s="69" t="s">
        <v>1711</v>
      </c>
      <c r="H80" s="101" t="s">
        <v>3958</v>
      </c>
      <c r="I80" s="74">
        <v>72740</v>
      </c>
      <c r="J80" s="18" t="s">
        <v>1634</v>
      </c>
    </row>
    <row r="81" spans="1:10" ht="38.25" x14ac:dyDescent="0.2">
      <c r="A81" s="225"/>
      <c r="B81" s="71">
        <v>76</v>
      </c>
      <c r="C81" s="73" t="s">
        <v>1728</v>
      </c>
      <c r="D81" s="85" t="s">
        <v>3957</v>
      </c>
      <c r="E81" s="71">
        <v>33</v>
      </c>
      <c r="F81" s="69"/>
      <c r="G81" s="69" t="s">
        <v>2958</v>
      </c>
      <c r="H81" s="101" t="s">
        <v>3959</v>
      </c>
      <c r="I81" s="74">
        <v>13141.28</v>
      </c>
      <c r="J81" s="18" t="s">
        <v>1634</v>
      </c>
    </row>
    <row r="82" spans="1:10" ht="38.25" x14ac:dyDescent="0.2">
      <c r="A82" s="225"/>
      <c r="B82" s="71">
        <v>77</v>
      </c>
      <c r="C82" s="73" t="s">
        <v>947</v>
      </c>
      <c r="D82" s="85" t="s">
        <v>3957</v>
      </c>
      <c r="E82" s="71" t="s">
        <v>3960</v>
      </c>
      <c r="F82" s="69"/>
      <c r="G82" s="69" t="s">
        <v>1711</v>
      </c>
      <c r="H82" s="101" t="s">
        <v>3961</v>
      </c>
      <c r="I82" s="74">
        <f>50+18480+62.5+5250+9450+375</f>
        <v>33667.5</v>
      </c>
      <c r="J82" s="18" t="s">
        <v>1634</v>
      </c>
    </row>
    <row r="83" spans="1:10" ht="38.25" x14ac:dyDescent="0.2">
      <c r="A83" s="225"/>
      <c r="B83" s="71">
        <v>78</v>
      </c>
      <c r="C83" s="73" t="s">
        <v>45</v>
      </c>
      <c r="D83" s="85" t="s">
        <v>3957</v>
      </c>
      <c r="E83" s="71" t="s">
        <v>3962</v>
      </c>
      <c r="F83" s="69"/>
      <c r="G83" s="69" t="s">
        <v>1711</v>
      </c>
      <c r="H83" s="101" t="s">
        <v>3963</v>
      </c>
      <c r="I83" s="74">
        <f>111812.4+21974.45+577.33</f>
        <v>134364.18</v>
      </c>
      <c r="J83" s="18" t="s">
        <v>1634</v>
      </c>
    </row>
    <row r="84" spans="1:10" ht="38.25" x14ac:dyDescent="0.2">
      <c r="A84" s="225"/>
      <c r="B84" s="71">
        <v>79</v>
      </c>
      <c r="C84" s="73" t="s">
        <v>947</v>
      </c>
      <c r="D84" s="85" t="s">
        <v>3502</v>
      </c>
      <c r="E84" s="71" t="s">
        <v>4024</v>
      </c>
      <c r="F84" s="69"/>
      <c r="G84" s="69" t="s">
        <v>2008</v>
      </c>
      <c r="H84" s="101" t="s">
        <v>3961</v>
      </c>
      <c r="I84" s="74">
        <f>12700+10395+125</f>
        <v>23220</v>
      </c>
      <c r="J84" s="18" t="s">
        <v>1634</v>
      </c>
    </row>
    <row r="85" spans="1:10" ht="38.25" x14ac:dyDescent="0.2">
      <c r="A85" s="225"/>
      <c r="B85" s="71">
        <v>80</v>
      </c>
      <c r="C85" s="73" t="s">
        <v>1728</v>
      </c>
      <c r="D85" s="85" t="s">
        <v>3502</v>
      </c>
      <c r="E85" s="71">
        <v>33</v>
      </c>
      <c r="F85" s="69"/>
      <c r="G85" s="69" t="s">
        <v>2958</v>
      </c>
      <c r="H85" s="101" t="s">
        <v>3959</v>
      </c>
      <c r="I85" s="74">
        <f>8780.1</f>
        <v>8780.1</v>
      </c>
      <c r="J85" s="18" t="s">
        <v>1634</v>
      </c>
    </row>
    <row r="86" spans="1:10" s="6" customFormat="1" ht="38.25" x14ac:dyDescent="0.2">
      <c r="A86" s="225"/>
      <c r="B86" s="42">
        <v>81</v>
      </c>
      <c r="C86" s="155" t="s">
        <v>45</v>
      </c>
      <c r="D86" s="156" t="s">
        <v>3502</v>
      </c>
      <c r="E86" s="42" t="s">
        <v>4025</v>
      </c>
      <c r="F86" s="38"/>
      <c r="G86" s="38" t="s">
        <v>2384</v>
      </c>
      <c r="H86" s="104" t="s">
        <v>4026</v>
      </c>
      <c r="I86" s="160">
        <f>26161.25+14433.3</f>
        <v>40594.550000000003</v>
      </c>
      <c r="J86" s="114" t="s">
        <v>1634</v>
      </c>
    </row>
    <row r="87" spans="1:10" s="6" customFormat="1" ht="38.25" x14ac:dyDescent="0.2">
      <c r="A87" s="225"/>
      <c r="B87" s="42">
        <v>82</v>
      </c>
      <c r="C87" s="155" t="s">
        <v>78</v>
      </c>
      <c r="D87" s="156" t="s">
        <v>3502</v>
      </c>
      <c r="E87" s="42">
        <v>52</v>
      </c>
      <c r="F87" s="38"/>
      <c r="G87" s="38" t="s">
        <v>2008</v>
      </c>
      <c r="H87" s="104" t="s">
        <v>4027</v>
      </c>
      <c r="I87" s="160">
        <f>987.5</f>
        <v>987.5</v>
      </c>
      <c r="J87" s="114" t="s">
        <v>1634</v>
      </c>
    </row>
    <row r="88" spans="1:10" s="6" customFormat="1" ht="38.25" x14ac:dyDescent="0.2">
      <c r="A88" s="225"/>
      <c r="B88" s="42">
        <v>83</v>
      </c>
      <c r="C88" s="155" t="s">
        <v>1713</v>
      </c>
      <c r="D88" s="156" t="s">
        <v>3502</v>
      </c>
      <c r="E88" s="42">
        <v>46</v>
      </c>
      <c r="F88" s="38"/>
      <c r="G88" s="38" t="s">
        <v>2384</v>
      </c>
      <c r="H88" s="104" t="s">
        <v>4028</v>
      </c>
      <c r="I88" s="160">
        <v>350</v>
      </c>
      <c r="J88" s="114" t="s">
        <v>1634</v>
      </c>
    </row>
    <row r="89" spans="1:10" s="6" customFormat="1" ht="38.25" x14ac:dyDescent="0.2">
      <c r="A89" s="225"/>
      <c r="B89" s="42">
        <v>84</v>
      </c>
      <c r="C89" s="155" t="s">
        <v>931</v>
      </c>
      <c r="D89" s="156" t="s">
        <v>3502</v>
      </c>
      <c r="E89" s="42">
        <v>36</v>
      </c>
      <c r="F89" s="38"/>
      <c r="G89" s="38" t="s">
        <v>2584</v>
      </c>
      <c r="H89" s="104" t="s">
        <v>4029</v>
      </c>
      <c r="I89" s="160">
        <v>44770</v>
      </c>
      <c r="J89" s="114" t="s">
        <v>1634</v>
      </c>
    </row>
    <row r="90" spans="1:10" s="6" customFormat="1" ht="38.25" x14ac:dyDescent="0.2">
      <c r="A90" s="225"/>
      <c r="B90" s="42">
        <v>85</v>
      </c>
      <c r="C90" s="158" t="s">
        <v>41</v>
      </c>
      <c r="D90" s="156" t="s">
        <v>1637</v>
      </c>
      <c r="E90" s="42" t="s">
        <v>3267</v>
      </c>
      <c r="F90" s="38"/>
      <c r="G90" s="38" t="s">
        <v>3694</v>
      </c>
      <c r="H90" s="104" t="s">
        <v>3794</v>
      </c>
      <c r="I90" s="160">
        <f>9030+9006.88+360.28+37171.88+4357.5</f>
        <v>59926.539999999994</v>
      </c>
      <c r="J90" s="114" t="s">
        <v>1634</v>
      </c>
    </row>
    <row r="91" spans="1:10" s="6" customFormat="1" ht="38.25" x14ac:dyDescent="0.2">
      <c r="A91" s="226"/>
      <c r="B91" s="42">
        <v>86</v>
      </c>
      <c r="C91" s="155" t="s">
        <v>1728</v>
      </c>
      <c r="D91" s="156" t="s">
        <v>1637</v>
      </c>
      <c r="E91" s="42" t="s">
        <v>4109</v>
      </c>
      <c r="F91" s="38"/>
      <c r="G91" s="38" t="s">
        <v>2636</v>
      </c>
      <c r="H91" s="104" t="s">
        <v>4110</v>
      </c>
      <c r="I91" s="160">
        <f>518.7+1554+5057.5+5310.38+65694.83+2401.25</f>
        <v>80536.66</v>
      </c>
      <c r="J91" s="114" t="s">
        <v>1634</v>
      </c>
    </row>
    <row r="92" spans="1:10" s="6" customFormat="1" ht="38.25" x14ac:dyDescent="0.2">
      <c r="A92" s="218" t="s">
        <v>4158</v>
      </c>
      <c r="B92" s="42">
        <v>1</v>
      </c>
      <c r="C92" s="155" t="s">
        <v>45</v>
      </c>
      <c r="D92" s="156" t="s">
        <v>1641</v>
      </c>
      <c r="E92" s="42" t="s">
        <v>1725</v>
      </c>
      <c r="F92" s="38"/>
      <c r="G92" s="38" t="s">
        <v>1726</v>
      </c>
      <c r="H92" s="104" t="s">
        <v>1727</v>
      </c>
      <c r="I92" s="161">
        <v>2107.31</v>
      </c>
      <c r="J92" s="161" t="s">
        <v>1290</v>
      </c>
    </row>
    <row r="93" spans="1:10" s="6" customFormat="1" ht="38.25" x14ac:dyDescent="0.2">
      <c r="A93" s="219"/>
      <c r="B93" s="42">
        <v>2</v>
      </c>
      <c r="C93" s="155" t="s">
        <v>1728</v>
      </c>
      <c r="D93" s="156" t="s">
        <v>1641</v>
      </c>
      <c r="E93" s="42" t="s">
        <v>1729</v>
      </c>
      <c r="F93" s="38"/>
      <c r="G93" s="38" t="s">
        <v>1726</v>
      </c>
      <c r="H93" s="104" t="s">
        <v>1727</v>
      </c>
      <c r="I93" s="161">
        <v>2819.44</v>
      </c>
      <c r="J93" s="161" t="s">
        <v>1290</v>
      </c>
    </row>
    <row r="94" spans="1:10" s="6" customFormat="1" ht="38.25" x14ac:dyDescent="0.2">
      <c r="A94" s="219"/>
      <c r="B94" s="42">
        <v>3</v>
      </c>
      <c r="C94" s="158" t="s">
        <v>41</v>
      </c>
      <c r="D94" s="156" t="s">
        <v>1641</v>
      </c>
      <c r="E94" s="42" t="s">
        <v>1730</v>
      </c>
      <c r="F94" s="38"/>
      <c r="G94" s="38" t="s">
        <v>1726</v>
      </c>
      <c r="H94" s="104" t="s">
        <v>1727</v>
      </c>
      <c r="I94" s="161">
        <v>18494.7</v>
      </c>
      <c r="J94" s="161" t="s">
        <v>1290</v>
      </c>
    </row>
    <row r="95" spans="1:10" s="6" customFormat="1" ht="38.25" x14ac:dyDescent="0.2">
      <c r="A95" s="219"/>
      <c r="B95" s="42">
        <v>4</v>
      </c>
      <c r="C95" s="158" t="s">
        <v>41</v>
      </c>
      <c r="D95" s="156" t="s">
        <v>1769</v>
      </c>
      <c r="E95" s="42" t="s">
        <v>1730</v>
      </c>
      <c r="F95" s="38"/>
      <c r="G95" s="38" t="s">
        <v>1770</v>
      </c>
      <c r="H95" s="104" t="s">
        <v>1775</v>
      </c>
      <c r="I95" s="161">
        <v>7507.82</v>
      </c>
      <c r="J95" s="161" t="s">
        <v>1290</v>
      </c>
    </row>
    <row r="96" spans="1:10" s="6" customFormat="1" ht="38.25" x14ac:dyDescent="0.2">
      <c r="A96" s="219"/>
      <c r="B96" s="42">
        <v>5</v>
      </c>
      <c r="C96" s="158" t="s">
        <v>45</v>
      </c>
      <c r="D96" s="156" t="s">
        <v>1769</v>
      </c>
      <c r="E96" s="42" t="s">
        <v>1776</v>
      </c>
      <c r="F96" s="38"/>
      <c r="G96" s="38" t="s">
        <v>1777</v>
      </c>
      <c r="H96" s="104" t="s">
        <v>1778</v>
      </c>
      <c r="I96" s="161">
        <v>2486.4</v>
      </c>
      <c r="J96" s="161" t="s">
        <v>1290</v>
      </c>
    </row>
    <row r="97" spans="1:10" s="6" customFormat="1" ht="38.25" x14ac:dyDescent="0.2">
      <c r="A97" s="219"/>
      <c r="B97" s="42">
        <v>6</v>
      </c>
      <c r="C97" s="158" t="s">
        <v>1728</v>
      </c>
      <c r="D97" s="156" t="s">
        <v>1769</v>
      </c>
      <c r="E97" s="42" t="s">
        <v>1779</v>
      </c>
      <c r="F97" s="38"/>
      <c r="G97" s="38" t="s">
        <v>1780</v>
      </c>
      <c r="H97" s="104" t="s">
        <v>1781</v>
      </c>
      <c r="I97" s="161">
        <v>1346.84</v>
      </c>
      <c r="J97" s="161" t="s">
        <v>1290</v>
      </c>
    </row>
    <row r="98" spans="1:10" s="6" customFormat="1" ht="38.25" x14ac:dyDescent="0.2">
      <c r="A98" s="219"/>
      <c r="B98" s="42">
        <v>7</v>
      </c>
      <c r="C98" s="158" t="s">
        <v>1713</v>
      </c>
      <c r="D98" s="156" t="s">
        <v>1769</v>
      </c>
      <c r="E98" s="42" t="s">
        <v>1782</v>
      </c>
      <c r="F98" s="38"/>
      <c r="G98" s="38" t="s">
        <v>1732</v>
      </c>
      <c r="H98" s="104" t="s">
        <v>1783</v>
      </c>
      <c r="I98" s="161">
        <v>7813.65</v>
      </c>
      <c r="J98" s="161" t="s">
        <v>1290</v>
      </c>
    </row>
    <row r="99" spans="1:10" s="6" customFormat="1" ht="38.25" x14ac:dyDescent="0.2">
      <c r="A99" s="219"/>
      <c r="B99" s="42">
        <v>8</v>
      </c>
      <c r="C99" s="155" t="s">
        <v>1713</v>
      </c>
      <c r="D99" s="156" t="s">
        <v>1641</v>
      </c>
      <c r="E99" s="42" t="s">
        <v>1786</v>
      </c>
      <c r="F99" s="38"/>
      <c r="G99" s="38" t="s">
        <v>1732</v>
      </c>
      <c r="H99" s="104" t="s">
        <v>1787</v>
      </c>
      <c r="I99" s="161">
        <v>11486.1</v>
      </c>
      <c r="J99" s="161" t="s">
        <v>1290</v>
      </c>
    </row>
    <row r="100" spans="1:10" s="6" customFormat="1" ht="38.25" x14ac:dyDescent="0.2">
      <c r="A100" s="219"/>
      <c r="B100" s="42">
        <v>9</v>
      </c>
      <c r="C100" s="158" t="s">
        <v>45</v>
      </c>
      <c r="D100" s="156" t="s">
        <v>1692</v>
      </c>
      <c r="E100" s="42" t="s">
        <v>1788</v>
      </c>
      <c r="F100" s="38"/>
      <c r="G100" s="38" t="s">
        <v>1789</v>
      </c>
      <c r="H100" s="104" t="s">
        <v>1790</v>
      </c>
      <c r="I100" s="161">
        <v>1193.43</v>
      </c>
      <c r="J100" s="161" t="s">
        <v>1290</v>
      </c>
    </row>
    <row r="101" spans="1:10" s="6" customFormat="1" ht="38.25" x14ac:dyDescent="0.2">
      <c r="A101" s="219"/>
      <c r="B101" s="42">
        <v>10</v>
      </c>
      <c r="C101" s="155" t="s">
        <v>1728</v>
      </c>
      <c r="D101" s="156" t="s">
        <v>1692</v>
      </c>
      <c r="E101" s="42" t="s">
        <v>1779</v>
      </c>
      <c r="F101" s="38"/>
      <c r="G101" s="38" t="s">
        <v>1789</v>
      </c>
      <c r="H101" s="104" t="s">
        <v>1791</v>
      </c>
      <c r="I101" s="161">
        <v>2901.68</v>
      </c>
      <c r="J101" s="161" t="s">
        <v>1290</v>
      </c>
    </row>
    <row r="102" spans="1:10" s="6" customFormat="1" ht="38.25" x14ac:dyDescent="0.2">
      <c r="A102" s="219"/>
      <c r="B102" s="42">
        <v>11</v>
      </c>
      <c r="C102" s="155" t="s">
        <v>1713</v>
      </c>
      <c r="D102" s="156" t="s">
        <v>1692</v>
      </c>
      <c r="E102" s="42" t="s">
        <v>1800</v>
      </c>
      <c r="F102" s="38"/>
      <c r="G102" s="38" t="s">
        <v>1732</v>
      </c>
      <c r="H102" s="104" t="s">
        <v>1783</v>
      </c>
      <c r="I102" s="161">
        <v>5159.1099999999997</v>
      </c>
      <c r="J102" s="161" t="s">
        <v>1290</v>
      </c>
    </row>
    <row r="103" spans="1:10" s="6" customFormat="1" ht="38.25" x14ac:dyDescent="0.2">
      <c r="A103" s="219"/>
      <c r="B103" s="42">
        <v>12</v>
      </c>
      <c r="C103" s="158" t="s">
        <v>41</v>
      </c>
      <c r="D103" s="156" t="s">
        <v>1692</v>
      </c>
      <c r="E103" s="42" t="s">
        <v>1730</v>
      </c>
      <c r="F103" s="38"/>
      <c r="G103" s="38" t="s">
        <v>1789</v>
      </c>
      <c r="H103" s="104" t="s">
        <v>1801</v>
      </c>
      <c r="I103" s="161">
        <v>426.72</v>
      </c>
      <c r="J103" s="161" t="s">
        <v>1290</v>
      </c>
    </row>
    <row r="104" spans="1:10" s="6" customFormat="1" ht="38.25" x14ac:dyDescent="0.2">
      <c r="A104" s="219"/>
      <c r="B104" s="42">
        <v>13</v>
      </c>
      <c r="C104" s="158" t="s">
        <v>45</v>
      </c>
      <c r="D104" s="156" t="s">
        <v>1656</v>
      </c>
      <c r="E104" s="42" t="s">
        <v>2152</v>
      </c>
      <c r="F104" s="38"/>
      <c r="G104" s="38" t="s">
        <v>1726</v>
      </c>
      <c r="H104" s="104" t="s">
        <v>2153</v>
      </c>
      <c r="I104" s="161">
        <v>850.92</v>
      </c>
      <c r="J104" s="161" t="s">
        <v>1290</v>
      </c>
    </row>
    <row r="105" spans="1:10" s="6" customFormat="1" ht="38.25" x14ac:dyDescent="0.2">
      <c r="A105" s="219"/>
      <c r="B105" s="42">
        <v>14</v>
      </c>
      <c r="C105" s="158" t="s">
        <v>41</v>
      </c>
      <c r="D105" s="156" t="s">
        <v>2154</v>
      </c>
      <c r="E105" s="42" t="s">
        <v>2155</v>
      </c>
      <c r="F105" s="38"/>
      <c r="G105" s="38" t="s">
        <v>2008</v>
      </c>
      <c r="H105" s="104" t="s">
        <v>2156</v>
      </c>
      <c r="I105" s="161">
        <f>(287.28+2625)*1.05</f>
        <v>3057.8939999999998</v>
      </c>
      <c r="J105" s="161" t="s">
        <v>1290</v>
      </c>
    </row>
    <row r="106" spans="1:10" s="6" customFormat="1" ht="38.25" x14ac:dyDescent="0.2">
      <c r="A106" s="219"/>
      <c r="B106" s="42">
        <v>15</v>
      </c>
      <c r="C106" s="158" t="s">
        <v>45</v>
      </c>
      <c r="D106" s="156" t="s">
        <v>2154</v>
      </c>
      <c r="E106" s="42" t="s">
        <v>2157</v>
      </c>
      <c r="F106" s="38"/>
      <c r="G106" s="38" t="s">
        <v>1732</v>
      </c>
      <c r="H106" s="104" t="s">
        <v>2158</v>
      </c>
      <c r="I106" s="161">
        <f>(123.76+25.76+124.92+49.88+215.76+272+156.8+430.5)*1.05</f>
        <v>1469.3489999999999</v>
      </c>
      <c r="J106" s="161" t="s">
        <v>1290</v>
      </c>
    </row>
    <row r="107" spans="1:10" s="6" customFormat="1" ht="38.25" x14ac:dyDescent="0.2">
      <c r="A107" s="219"/>
      <c r="B107" s="42">
        <v>16</v>
      </c>
      <c r="C107" s="158" t="s">
        <v>1728</v>
      </c>
      <c r="D107" s="156" t="s">
        <v>1656</v>
      </c>
      <c r="E107" s="42" t="s">
        <v>1729</v>
      </c>
      <c r="F107" s="38"/>
      <c r="G107" s="38" t="s">
        <v>1726</v>
      </c>
      <c r="H107" s="104" t="s">
        <v>2159</v>
      </c>
      <c r="I107" s="161">
        <v>704.66</v>
      </c>
      <c r="J107" s="161" t="s">
        <v>1290</v>
      </c>
    </row>
    <row r="108" spans="1:10" s="6" customFormat="1" ht="38.25" x14ac:dyDescent="0.2">
      <c r="A108" s="219"/>
      <c r="B108" s="42">
        <v>17</v>
      </c>
      <c r="C108" s="155" t="s">
        <v>1713</v>
      </c>
      <c r="D108" s="156" t="s">
        <v>1656</v>
      </c>
      <c r="E108" s="42" t="s">
        <v>2160</v>
      </c>
      <c r="F108" s="38"/>
      <c r="G108" s="38" t="s">
        <v>1726</v>
      </c>
      <c r="H108" s="104" t="s">
        <v>2161</v>
      </c>
      <c r="I108" s="161">
        <v>4755.26</v>
      </c>
      <c r="J108" s="161" t="s">
        <v>1290</v>
      </c>
    </row>
    <row r="109" spans="1:10" s="6" customFormat="1" ht="38.25" x14ac:dyDescent="0.2">
      <c r="A109" s="219"/>
      <c r="B109" s="42">
        <v>18</v>
      </c>
      <c r="C109" s="158" t="s">
        <v>1728</v>
      </c>
      <c r="D109" s="156" t="s">
        <v>2154</v>
      </c>
      <c r="E109" s="42" t="s">
        <v>1779</v>
      </c>
      <c r="F109" s="38"/>
      <c r="G109" s="38" t="s">
        <v>1732</v>
      </c>
      <c r="H109" s="104" t="s">
        <v>2162</v>
      </c>
      <c r="I109" s="161">
        <f>(3179+710.4+864+361.2+1369.6)*1.05</f>
        <v>6808.4099999999989</v>
      </c>
      <c r="J109" s="161" t="s">
        <v>1290</v>
      </c>
    </row>
    <row r="110" spans="1:10" s="6" customFormat="1" ht="38.25" x14ac:dyDescent="0.2">
      <c r="A110" s="219"/>
      <c r="B110" s="42">
        <v>19</v>
      </c>
      <c r="C110" s="158" t="s">
        <v>41</v>
      </c>
      <c r="D110" s="156" t="s">
        <v>1656</v>
      </c>
      <c r="E110" s="42">
        <v>407</v>
      </c>
      <c r="F110" s="38"/>
      <c r="G110" s="38" t="s">
        <v>2005</v>
      </c>
      <c r="H110" s="104" t="s">
        <v>2163</v>
      </c>
      <c r="I110" s="161">
        <v>1653.75</v>
      </c>
      <c r="J110" s="161" t="s">
        <v>1290</v>
      </c>
    </row>
    <row r="111" spans="1:10" s="6" customFormat="1" ht="38.25" x14ac:dyDescent="0.2">
      <c r="A111" s="219"/>
      <c r="B111" s="42">
        <v>20</v>
      </c>
      <c r="C111" s="158" t="s">
        <v>1728</v>
      </c>
      <c r="D111" s="156" t="s">
        <v>2259</v>
      </c>
      <c r="E111" s="42" t="s">
        <v>1779</v>
      </c>
      <c r="F111" s="38"/>
      <c r="G111" s="38" t="s">
        <v>2005</v>
      </c>
      <c r="H111" s="104" t="s">
        <v>2261</v>
      </c>
      <c r="I111" s="161">
        <v>3303.98</v>
      </c>
      <c r="J111" s="161" t="s">
        <v>1290</v>
      </c>
    </row>
    <row r="112" spans="1:10" s="6" customFormat="1" ht="38.25" x14ac:dyDescent="0.2">
      <c r="A112" s="219"/>
      <c r="B112" s="42">
        <v>21</v>
      </c>
      <c r="C112" s="158" t="s">
        <v>41</v>
      </c>
      <c r="D112" s="156" t="s">
        <v>2259</v>
      </c>
      <c r="E112" s="42" t="s">
        <v>2262</v>
      </c>
      <c r="F112" s="38"/>
      <c r="G112" s="38" t="s">
        <v>2263</v>
      </c>
      <c r="H112" s="104" t="s">
        <v>2264</v>
      </c>
      <c r="I112" s="161">
        <v>1575</v>
      </c>
      <c r="J112" s="161" t="s">
        <v>1290</v>
      </c>
    </row>
    <row r="113" spans="1:10" s="6" customFormat="1" ht="38.25" x14ac:dyDescent="0.2">
      <c r="A113" s="219"/>
      <c r="B113" s="42">
        <v>22</v>
      </c>
      <c r="C113" s="158" t="s">
        <v>1728</v>
      </c>
      <c r="D113" s="156" t="s">
        <v>1618</v>
      </c>
      <c r="E113" s="42" t="s">
        <v>2265</v>
      </c>
      <c r="F113" s="38"/>
      <c r="G113" s="38" t="s">
        <v>1770</v>
      </c>
      <c r="H113" s="104" t="s">
        <v>2266</v>
      </c>
      <c r="I113" s="161">
        <f>1008+1102.5+224.7</f>
        <v>2335.1999999999998</v>
      </c>
      <c r="J113" s="161" t="s">
        <v>1290</v>
      </c>
    </row>
    <row r="114" spans="1:10" s="6" customFormat="1" ht="38.25" x14ac:dyDescent="0.2">
      <c r="A114" s="219"/>
      <c r="B114" s="42">
        <v>23</v>
      </c>
      <c r="C114" s="158" t="s">
        <v>45</v>
      </c>
      <c r="D114" s="156" t="s">
        <v>1618</v>
      </c>
      <c r="E114" s="42" t="s">
        <v>2267</v>
      </c>
      <c r="F114" s="38"/>
      <c r="G114" s="38" t="s">
        <v>1770</v>
      </c>
      <c r="H114" s="104" t="s">
        <v>2268</v>
      </c>
      <c r="I114" s="161">
        <f>324.87+396.9</f>
        <v>721.77</v>
      </c>
      <c r="J114" s="161" t="s">
        <v>1290</v>
      </c>
    </row>
    <row r="115" spans="1:10" s="6" customFormat="1" ht="38.25" x14ac:dyDescent="0.2">
      <c r="A115" s="219"/>
      <c r="B115" s="42">
        <v>24</v>
      </c>
      <c r="C115" s="158" t="s">
        <v>41</v>
      </c>
      <c r="D115" s="156" t="s">
        <v>1618</v>
      </c>
      <c r="E115" s="42" t="s">
        <v>1730</v>
      </c>
      <c r="F115" s="38"/>
      <c r="G115" s="38" t="s">
        <v>1770</v>
      </c>
      <c r="H115" s="104" t="s">
        <v>1775</v>
      </c>
      <c r="I115" s="161">
        <f>2086.87+359.1</f>
        <v>2445.9699999999998</v>
      </c>
      <c r="J115" s="161" t="s">
        <v>1290</v>
      </c>
    </row>
    <row r="116" spans="1:10" s="6" customFormat="1" ht="38.25" x14ac:dyDescent="0.2">
      <c r="A116" s="219"/>
      <c r="B116" s="42">
        <v>25</v>
      </c>
      <c r="C116" s="155" t="s">
        <v>1713</v>
      </c>
      <c r="D116" s="156" t="s">
        <v>1618</v>
      </c>
      <c r="E116" s="42" t="s">
        <v>2269</v>
      </c>
      <c r="F116" s="38"/>
      <c r="G116" s="38" t="s">
        <v>1770</v>
      </c>
      <c r="H116" s="104" t="s">
        <v>2270</v>
      </c>
      <c r="I116" s="161">
        <f>4419.87+194.25+8748.34+137.76+103.95</f>
        <v>13604.17</v>
      </c>
      <c r="J116" s="161" t="s">
        <v>1290</v>
      </c>
    </row>
    <row r="117" spans="1:10" s="6" customFormat="1" ht="38.25" x14ac:dyDescent="0.2">
      <c r="A117" s="219"/>
      <c r="B117" s="42">
        <v>26</v>
      </c>
      <c r="C117" s="155" t="s">
        <v>1713</v>
      </c>
      <c r="D117" s="156" t="s">
        <v>2154</v>
      </c>
      <c r="E117" s="42" t="s">
        <v>2318</v>
      </c>
      <c r="F117" s="38"/>
      <c r="G117" s="38" t="s">
        <v>2319</v>
      </c>
      <c r="H117" s="104" t="s">
        <v>2320</v>
      </c>
      <c r="I117" s="161">
        <f>(132.9+2790.9+976.5+1092+240.24+978.19+2271.36+319.2+9811.14+2401.2+45.92+30.8+92.78+396+58.98)*1.05</f>
        <v>22720.015499999998</v>
      </c>
      <c r="J117" s="161" t="s">
        <v>1290</v>
      </c>
    </row>
    <row r="118" spans="1:10" s="6" customFormat="1" ht="38.25" x14ac:dyDescent="0.2">
      <c r="A118" s="219"/>
      <c r="B118" s="42">
        <v>27</v>
      </c>
      <c r="C118" s="158" t="s">
        <v>45</v>
      </c>
      <c r="D118" s="153" t="s">
        <v>2352</v>
      </c>
      <c r="E118" s="42" t="s">
        <v>2360</v>
      </c>
      <c r="F118" s="38"/>
      <c r="G118" s="38" t="s">
        <v>2361</v>
      </c>
      <c r="H118" s="104" t="s">
        <v>2362</v>
      </c>
      <c r="I118" s="161">
        <v>532.74</v>
      </c>
      <c r="J118" s="161" t="s">
        <v>1290</v>
      </c>
    </row>
    <row r="119" spans="1:10" s="6" customFormat="1" ht="38.25" x14ac:dyDescent="0.2">
      <c r="A119" s="219"/>
      <c r="B119" s="42">
        <v>28</v>
      </c>
      <c r="C119" s="158" t="s">
        <v>41</v>
      </c>
      <c r="D119" s="153" t="s">
        <v>2352</v>
      </c>
      <c r="E119" s="42" t="s">
        <v>2155</v>
      </c>
      <c r="F119" s="38"/>
      <c r="G119" s="38" t="s">
        <v>2363</v>
      </c>
      <c r="H119" s="104" t="s">
        <v>2364</v>
      </c>
      <c r="I119" s="161">
        <v>2166.5700000000002</v>
      </c>
      <c r="J119" s="161" t="s">
        <v>1290</v>
      </c>
    </row>
    <row r="120" spans="1:10" s="6" customFormat="1" ht="38.25" x14ac:dyDescent="0.2">
      <c r="A120" s="219"/>
      <c r="B120" s="42">
        <v>29</v>
      </c>
      <c r="C120" s="158" t="s">
        <v>1728</v>
      </c>
      <c r="D120" s="153" t="s">
        <v>2352</v>
      </c>
      <c r="E120" s="42" t="s">
        <v>1779</v>
      </c>
      <c r="F120" s="38"/>
      <c r="G120" s="38" t="s">
        <v>1687</v>
      </c>
      <c r="H120" s="104" t="s">
        <v>2380</v>
      </c>
      <c r="I120" s="161">
        <v>1428.82</v>
      </c>
      <c r="J120" s="161" t="s">
        <v>1290</v>
      </c>
    </row>
    <row r="121" spans="1:10" s="6" customFormat="1" ht="38.25" x14ac:dyDescent="0.2">
      <c r="A121" s="219"/>
      <c r="B121" s="42">
        <v>30</v>
      </c>
      <c r="C121" s="155" t="s">
        <v>1713</v>
      </c>
      <c r="D121" s="153" t="s">
        <v>2352</v>
      </c>
      <c r="E121" s="42" t="s">
        <v>2381</v>
      </c>
      <c r="F121" s="38"/>
      <c r="G121" s="38" t="s">
        <v>1706</v>
      </c>
      <c r="H121" s="104" t="s">
        <v>2382</v>
      </c>
      <c r="I121" s="161">
        <v>4296.41</v>
      </c>
      <c r="J121" s="161" t="s">
        <v>1290</v>
      </c>
    </row>
    <row r="122" spans="1:10" s="6" customFormat="1" ht="38.25" x14ac:dyDescent="0.2">
      <c r="A122" s="219"/>
      <c r="B122" s="42">
        <v>31</v>
      </c>
      <c r="C122" s="155" t="s">
        <v>1713</v>
      </c>
      <c r="D122" s="153" t="s">
        <v>2383</v>
      </c>
      <c r="E122" s="42" t="s">
        <v>2393</v>
      </c>
      <c r="F122" s="38"/>
      <c r="G122" s="38" t="s">
        <v>2394</v>
      </c>
      <c r="H122" s="104" t="s">
        <v>2395</v>
      </c>
      <c r="I122" s="161">
        <v>3640.69</v>
      </c>
      <c r="J122" s="161" t="s">
        <v>1290</v>
      </c>
    </row>
    <row r="123" spans="1:10" s="6" customFormat="1" ht="38.25" x14ac:dyDescent="0.2">
      <c r="A123" s="219"/>
      <c r="B123" s="42">
        <v>32</v>
      </c>
      <c r="C123" s="158" t="s">
        <v>1728</v>
      </c>
      <c r="D123" s="153" t="s">
        <v>2383</v>
      </c>
      <c r="E123" s="42" t="s">
        <v>1779</v>
      </c>
      <c r="F123" s="38"/>
      <c r="G123" s="38" t="s">
        <v>2386</v>
      </c>
      <c r="H123" s="104" t="s">
        <v>2396</v>
      </c>
      <c r="I123" s="161">
        <v>7746.42</v>
      </c>
      <c r="J123" s="161" t="s">
        <v>1290</v>
      </c>
    </row>
    <row r="124" spans="1:10" s="6" customFormat="1" ht="38.25" x14ac:dyDescent="0.2">
      <c r="A124" s="219"/>
      <c r="B124" s="42">
        <v>33</v>
      </c>
      <c r="C124" s="158" t="s">
        <v>41</v>
      </c>
      <c r="D124" s="153" t="s">
        <v>2383</v>
      </c>
      <c r="E124" s="42" t="s">
        <v>1730</v>
      </c>
      <c r="F124" s="38"/>
      <c r="G124" s="38" t="s">
        <v>2389</v>
      </c>
      <c r="H124" s="104" t="s">
        <v>2397</v>
      </c>
      <c r="I124" s="161">
        <v>9015.2999999999993</v>
      </c>
      <c r="J124" s="161" t="s">
        <v>1290</v>
      </c>
    </row>
    <row r="125" spans="1:10" s="6" customFormat="1" ht="38.25" x14ac:dyDescent="0.2">
      <c r="A125" s="219"/>
      <c r="B125" s="42">
        <v>34</v>
      </c>
      <c r="C125" s="158" t="s">
        <v>1728</v>
      </c>
      <c r="D125" s="153" t="s">
        <v>2788</v>
      </c>
      <c r="E125" s="42" t="s">
        <v>1729</v>
      </c>
      <c r="F125" s="38"/>
      <c r="G125" s="38" t="s">
        <v>2316</v>
      </c>
      <c r="H125" s="104" t="s">
        <v>2816</v>
      </c>
      <c r="I125" s="161">
        <v>6277.53</v>
      </c>
      <c r="J125" s="161" t="s">
        <v>1290</v>
      </c>
    </row>
    <row r="126" spans="1:10" s="6" customFormat="1" ht="38.25" x14ac:dyDescent="0.2">
      <c r="A126" s="219"/>
      <c r="B126" s="42">
        <v>35</v>
      </c>
      <c r="C126" s="158" t="s">
        <v>45</v>
      </c>
      <c r="D126" s="153" t="s">
        <v>2788</v>
      </c>
      <c r="E126" s="42" t="s">
        <v>2817</v>
      </c>
      <c r="F126" s="38"/>
      <c r="G126" s="38" t="s">
        <v>2316</v>
      </c>
      <c r="H126" s="104" t="s">
        <v>2818</v>
      </c>
      <c r="I126" s="161">
        <v>905.63</v>
      </c>
      <c r="J126" s="161" t="s">
        <v>1290</v>
      </c>
    </row>
    <row r="127" spans="1:10" s="6" customFormat="1" ht="38.25" x14ac:dyDescent="0.2">
      <c r="A127" s="219"/>
      <c r="B127" s="42">
        <v>36</v>
      </c>
      <c r="C127" s="158" t="s">
        <v>41</v>
      </c>
      <c r="D127" s="153" t="s">
        <v>2788</v>
      </c>
      <c r="E127" s="42" t="s">
        <v>2155</v>
      </c>
      <c r="F127" s="38"/>
      <c r="G127" s="38" t="s">
        <v>2316</v>
      </c>
      <c r="H127" s="104" t="s">
        <v>2819</v>
      </c>
      <c r="I127" s="161">
        <v>10976.28</v>
      </c>
      <c r="J127" s="161" t="s">
        <v>1290</v>
      </c>
    </row>
    <row r="128" spans="1:10" s="6" customFormat="1" ht="38.25" x14ac:dyDescent="0.2">
      <c r="A128" s="219"/>
      <c r="B128" s="42">
        <v>37</v>
      </c>
      <c r="C128" s="155" t="s">
        <v>2820</v>
      </c>
      <c r="D128" s="153" t="s">
        <v>2788</v>
      </c>
      <c r="E128" s="42" t="s">
        <v>2821</v>
      </c>
      <c r="F128" s="38"/>
      <c r="G128" s="38" t="s">
        <v>2316</v>
      </c>
      <c r="H128" s="104" t="s">
        <v>2822</v>
      </c>
      <c r="I128" s="161">
        <v>27298.53</v>
      </c>
      <c r="J128" s="161" t="s">
        <v>1290</v>
      </c>
    </row>
    <row r="129" spans="1:10" s="6" customFormat="1" ht="38.25" x14ac:dyDescent="0.2">
      <c r="A129" s="219"/>
      <c r="B129" s="42">
        <v>38</v>
      </c>
      <c r="C129" s="158" t="s">
        <v>45</v>
      </c>
      <c r="D129" s="156" t="s">
        <v>1637</v>
      </c>
      <c r="E129" s="42" t="s">
        <v>3261</v>
      </c>
      <c r="F129" s="38"/>
      <c r="G129" s="38" t="s">
        <v>2843</v>
      </c>
      <c r="H129" s="104" t="s">
        <v>3262</v>
      </c>
      <c r="I129" s="161">
        <v>3249.78</v>
      </c>
      <c r="J129" s="161" t="s">
        <v>1290</v>
      </c>
    </row>
    <row r="130" spans="1:10" s="6" customFormat="1" ht="38.25" x14ac:dyDescent="0.2">
      <c r="A130" s="219"/>
      <c r="B130" s="42">
        <v>39</v>
      </c>
      <c r="C130" s="158" t="s">
        <v>1728</v>
      </c>
      <c r="D130" s="156" t="s">
        <v>1637</v>
      </c>
      <c r="E130" s="42" t="s">
        <v>1779</v>
      </c>
      <c r="F130" s="38"/>
      <c r="G130" s="38" t="s">
        <v>2843</v>
      </c>
      <c r="H130" s="104" t="s">
        <v>3263</v>
      </c>
      <c r="I130" s="161">
        <v>3977.61</v>
      </c>
      <c r="J130" s="161" t="s">
        <v>1290</v>
      </c>
    </row>
    <row r="131" spans="1:10" s="6" customFormat="1" ht="38.25" x14ac:dyDescent="0.2">
      <c r="A131" s="219"/>
      <c r="B131" s="42">
        <v>40</v>
      </c>
      <c r="C131" s="158" t="s">
        <v>41</v>
      </c>
      <c r="D131" s="156" t="s">
        <v>1637</v>
      </c>
      <c r="E131" s="42" t="s">
        <v>2262</v>
      </c>
      <c r="F131" s="38"/>
      <c r="G131" s="38" t="s">
        <v>2843</v>
      </c>
      <c r="H131" s="104" t="s">
        <v>3264</v>
      </c>
      <c r="I131" s="161">
        <v>11105.01</v>
      </c>
      <c r="J131" s="161" t="s">
        <v>1290</v>
      </c>
    </row>
    <row r="132" spans="1:10" s="6" customFormat="1" ht="38.25" x14ac:dyDescent="0.2">
      <c r="A132" s="219"/>
      <c r="B132" s="42">
        <v>41</v>
      </c>
      <c r="C132" s="155" t="s">
        <v>2820</v>
      </c>
      <c r="D132" s="156" t="s">
        <v>1637</v>
      </c>
      <c r="E132" s="42" t="s">
        <v>3265</v>
      </c>
      <c r="F132" s="38"/>
      <c r="G132" s="38" t="s">
        <v>2843</v>
      </c>
      <c r="H132" s="104" t="s">
        <v>3266</v>
      </c>
      <c r="I132" s="161">
        <v>8784.33</v>
      </c>
      <c r="J132" s="161" t="s">
        <v>1290</v>
      </c>
    </row>
    <row r="133" spans="1:10" s="6" customFormat="1" ht="38.25" x14ac:dyDescent="0.2">
      <c r="A133" s="219"/>
      <c r="B133" s="42">
        <v>42</v>
      </c>
      <c r="C133" s="158" t="s">
        <v>45</v>
      </c>
      <c r="D133" s="156" t="s">
        <v>1749</v>
      </c>
      <c r="E133" s="42" t="s">
        <v>3261</v>
      </c>
      <c r="F133" s="38"/>
      <c r="G133" s="38" t="s">
        <v>2283</v>
      </c>
      <c r="H133" s="104" t="s">
        <v>3284</v>
      </c>
      <c r="I133" s="161">
        <f>367.35+20.29+176.15+115.71+194.88+735+532.67+2274.2+239.4+322.88</f>
        <v>4978.53</v>
      </c>
      <c r="J133" s="161" t="s">
        <v>1290</v>
      </c>
    </row>
    <row r="134" spans="1:10" s="6" customFormat="1" ht="38.25" x14ac:dyDescent="0.2">
      <c r="A134" s="219"/>
      <c r="B134" s="42">
        <v>43</v>
      </c>
      <c r="C134" s="158" t="s">
        <v>41</v>
      </c>
      <c r="D134" s="156" t="s">
        <v>1749</v>
      </c>
      <c r="E134" s="42" t="s">
        <v>1730</v>
      </c>
      <c r="F134" s="38"/>
      <c r="G134" s="38" t="s">
        <v>2283</v>
      </c>
      <c r="H134" s="104" t="s">
        <v>3285</v>
      </c>
      <c r="I134" s="161">
        <f>20249.78+115.71</f>
        <v>20365.489999999998</v>
      </c>
      <c r="J134" s="161" t="s">
        <v>1290</v>
      </c>
    </row>
    <row r="135" spans="1:10" s="6" customFormat="1" ht="38.25" x14ac:dyDescent="0.2">
      <c r="A135" s="219"/>
      <c r="B135" s="42">
        <v>44</v>
      </c>
      <c r="C135" s="155" t="s">
        <v>2820</v>
      </c>
      <c r="D135" s="156" t="s">
        <v>1749</v>
      </c>
      <c r="E135" s="42" t="s">
        <v>3281</v>
      </c>
      <c r="F135" s="38"/>
      <c r="G135" s="38" t="s">
        <v>2283</v>
      </c>
      <c r="H135" s="104" t="s">
        <v>3282</v>
      </c>
      <c r="I135" s="161">
        <f>279.09+279.09+271.99+1404.65+4716.5+24.36+21.53+208.22+43.05+69.3+2435.48+206.43</f>
        <v>9959.69</v>
      </c>
      <c r="J135" s="161" t="s">
        <v>1290</v>
      </c>
    </row>
    <row r="136" spans="1:10" s="6" customFormat="1" ht="38.25" x14ac:dyDescent="0.2">
      <c r="A136" s="219"/>
      <c r="B136" s="42">
        <v>45</v>
      </c>
      <c r="C136" s="158" t="s">
        <v>1728</v>
      </c>
      <c r="D136" s="156" t="s">
        <v>1749</v>
      </c>
      <c r="E136" s="42" t="s">
        <v>1779</v>
      </c>
      <c r="F136" s="38"/>
      <c r="G136" s="38" t="s">
        <v>2283</v>
      </c>
      <c r="H136" s="104" t="s">
        <v>3283</v>
      </c>
      <c r="I136" s="161">
        <f>4578.34+1727.04+3783.78+582.12+1123.5</f>
        <v>11794.78</v>
      </c>
      <c r="J136" s="161" t="s">
        <v>1290</v>
      </c>
    </row>
    <row r="137" spans="1:10" s="6" customFormat="1" ht="38.25" x14ac:dyDescent="0.2">
      <c r="A137" s="219"/>
      <c r="B137" s="42">
        <v>46</v>
      </c>
      <c r="C137" s="158" t="s">
        <v>41</v>
      </c>
      <c r="D137" s="156" t="s">
        <v>1625</v>
      </c>
      <c r="E137" s="42" t="s">
        <v>1730</v>
      </c>
      <c r="F137" s="38"/>
      <c r="G137" s="38" t="s">
        <v>3327</v>
      </c>
      <c r="H137" s="104" t="s">
        <v>3423</v>
      </c>
      <c r="I137" s="161">
        <f>9835.88+3559.08</f>
        <v>13394.96</v>
      </c>
      <c r="J137" s="161" t="s">
        <v>1290</v>
      </c>
    </row>
    <row r="138" spans="1:10" s="6" customFormat="1" ht="51" x14ac:dyDescent="0.2">
      <c r="A138" s="219"/>
      <c r="B138" s="42">
        <v>47</v>
      </c>
      <c r="C138" s="158" t="s">
        <v>45</v>
      </c>
      <c r="D138" s="156" t="s">
        <v>1625</v>
      </c>
      <c r="E138" s="42" t="s">
        <v>3424</v>
      </c>
      <c r="F138" s="38"/>
      <c r="G138" s="38" t="s">
        <v>2636</v>
      </c>
      <c r="H138" s="104" t="s">
        <v>3425</v>
      </c>
      <c r="I138" s="161">
        <f>424.83+330.75+504.63+3683.82+446.88</f>
        <v>5390.9100000000008</v>
      </c>
      <c r="J138" s="161" t="s">
        <v>1290</v>
      </c>
    </row>
    <row r="139" spans="1:10" s="6" customFormat="1" ht="51" x14ac:dyDescent="0.2">
      <c r="A139" s="219"/>
      <c r="B139" s="42">
        <v>48</v>
      </c>
      <c r="C139" s="158" t="s">
        <v>1728</v>
      </c>
      <c r="D139" s="156" t="s">
        <v>1625</v>
      </c>
      <c r="E139" s="42" t="s">
        <v>1779</v>
      </c>
      <c r="F139" s="38"/>
      <c r="G139" s="38" t="s">
        <v>2889</v>
      </c>
      <c r="H139" s="104" t="s">
        <v>3426</v>
      </c>
      <c r="I139" s="161">
        <f>3099.92+14280+7049.7+3175.2+1797.6</f>
        <v>29402.42</v>
      </c>
      <c r="J139" s="161" t="s">
        <v>1290</v>
      </c>
    </row>
    <row r="140" spans="1:10" s="6" customFormat="1" ht="63.75" x14ac:dyDescent="0.2">
      <c r="A140" s="219"/>
      <c r="B140" s="42">
        <v>49</v>
      </c>
      <c r="C140" s="155" t="s">
        <v>2820</v>
      </c>
      <c r="D140" s="156" t="s">
        <v>1625</v>
      </c>
      <c r="E140" s="42" t="s">
        <v>3427</v>
      </c>
      <c r="F140" s="38"/>
      <c r="G140" s="38" t="s">
        <v>2879</v>
      </c>
      <c r="H140" s="104" t="s">
        <v>3428</v>
      </c>
      <c r="I140" s="161">
        <f>26519.22+2341.08+4165.88+1894.2+288.75+1217.74+156.43+928.94</f>
        <v>37512.239999999998</v>
      </c>
      <c r="J140" s="161" t="s">
        <v>1290</v>
      </c>
    </row>
    <row r="141" spans="1:10" s="6" customFormat="1" ht="38.25" x14ac:dyDescent="0.2">
      <c r="A141" s="219"/>
      <c r="B141" s="42">
        <v>50</v>
      </c>
      <c r="C141" s="155" t="s">
        <v>2820</v>
      </c>
      <c r="D141" s="156" t="s">
        <v>3502</v>
      </c>
      <c r="E141" s="42" t="s">
        <v>3519</v>
      </c>
      <c r="F141" s="38"/>
      <c r="G141" s="38" t="s">
        <v>2283</v>
      </c>
      <c r="H141" s="104" t="s">
        <v>3282</v>
      </c>
      <c r="I141" s="161">
        <f>63+472.5+102+1521.45+730.64</f>
        <v>2889.5899999999997</v>
      </c>
      <c r="J141" s="161" t="s">
        <v>1290</v>
      </c>
    </row>
    <row r="142" spans="1:10" s="6" customFormat="1" ht="38.25" x14ac:dyDescent="0.2">
      <c r="A142" s="219"/>
      <c r="B142" s="42">
        <v>51</v>
      </c>
      <c r="C142" s="158" t="s">
        <v>1728</v>
      </c>
      <c r="D142" s="156" t="s">
        <v>3502</v>
      </c>
      <c r="E142" s="42" t="s">
        <v>1729</v>
      </c>
      <c r="F142" s="38"/>
      <c r="G142" s="38" t="s">
        <v>2283</v>
      </c>
      <c r="H142" s="104" t="s">
        <v>3283</v>
      </c>
      <c r="I142" s="161">
        <f>119.23+201.6+1701+88.2</f>
        <v>2110.0299999999997</v>
      </c>
      <c r="J142" s="161" t="s">
        <v>1290</v>
      </c>
    </row>
    <row r="143" spans="1:10" s="6" customFormat="1" ht="38.25" x14ac:dyDescent="0.2">
      <c r="A143" s="219"/>
      <c r="B143" s="42">
        <v>52</v>
      </c>
      <c r="C143" s="158" t="s">
        <v>41</v>
      </c>
      <c r="D143" s="156" t="s">
        <v>3502</v>
      </c>
      <c r="E143" s="42">
        <v>407</v>
      </c>
      <c r="F143" s="38"/>
      <c r="G143" s="38" t="s">
        <v>2283</v>
      </c>
      <c r="H143" s="104" t="s">
        <v>3285</v>
      </c>
      <c r="I143" s="161">
        <v>8662.5</v>
      </c>
      <c r="J143" s="161" t="s">
        <v>1290</v>
      </c>
    </row>
    <row r="144" spans="1:10" s="6" customFormat="1" ht="38.25" x14ac:dyDescent="0.2">
      <c r="A144" s="219"/>
      <c r="B144" s="42">
        <v>53</v>
      </c>
      <c r="C144" s="155" t="s">
        <v>3520</v>
      </c>
      <c r="D144" s="156" t="s">
        <v>2554</v>
      </c>
      <c r="E144" s="42" t="s">
        <v>3521</v>
      </c>
      <c r="F144" s="38"/>
      <c r="G144" s="38" t="s">
        <v>2858</v>
      </c>
      <c r="H144" s="104" t="s">
        <v>3522</v>
      </c>
      <c r="I144" s="161">
        <v>44841.35</v>
      </c>
      <c r="J144" s="161" t="s">
        <v>1290</v>
      </c>
    </row>
    <row r="145" spans="1:10" s="6" customFormat="1" ht="38.25" x14ac:dyDescent="0.2">
      <c r="A145" s="219"/>
      <c r="B145" s="42">
        <v>54</v>
      </c>
      <c r="C145" s="158" t="s">
        <v>41</v>
      </c>
      <c r="D145" s="156" t="s">
        <v>2554</v>
      </c>
      <c r="E145" s="42" t="s">
        <v>2262</v>
      </c>
      <c r="F145" s="38"/>
      <c r="G145" s="38" t="s">
        <v>2879</v>
      </c>
      <c r="H145" s="104" t="s">
        <v>3523</v>
      </c>
      <c r="I145" s="161">
        <v>4643.25</v>
      </c>
      <c r="J145" s="161" t="s">
        <v>1290</v>
      </c>
    </row>
    <row r="146" spans="1:10" s="6" customFormat="1" ht="38.25" x14ac:dyDescent="0.2">
      <c r="A146" s="219"/>
      <c r="B146" s="42">
        <v>55</v>
      </c>
      <c r="C146" s="158" t="s">
        <v>45</v>
      </c>
      <c r="D146" s="156" t="s">
        <v>2554</v>
      </c>
      <c r="E146" s="42" t="s">
        <v>3524</v>
      </c>
      <c r="F146" s="38"/>
      <c r="G146" s="38" t="s">
        <v>2889</v>
      </c>
      <c r="H146" s="104" t="s">
        <v>3525</v>
      </c>
      <c r="I146" s="161">
        <v>4208.03</v>
      </c>
      <c r="J146" s="161" t="s">
        <v>1290</v>
      </c>
    </row>
    <row r="147" spans="1:10" s="6" customFormat="1" ht="38.25" x14ac:dyDescent="0.2">
      <c r="A147" s="219"/>
      <c r="B147" s="42">
        <v>56</v>
      </c>
      <c r="C147" s="158" t="s">
        <v>1728</v>
      </c>
      <c r="D147" s="156" t="s">
        <v>2554</v>
      </c>
      <c r="E147" s="42" t="s">
        <v>1779</v>
      </c>
      <c r="F147" s="38"/>
      <c r="G147" s="38" t="s">
        <v>2858</v>
      </c>
      <c r="H147" s="104" t="s">
        <v>3526</v>
      </c>
      <c r="I147" s="161">
        <v>24565.63</v>
      </c>
      <c r="J147" s="161" t="s">
        <v>1290</v>
      </c>
    </row>
    <row r="148" spans="1:10" s="6" customFormat="1" ht="38.25" x14ac:dyDescent="0.2">
      <c r="A148" s="219"/>
      <c r="B148" s="42">
        <v>57</v>
      </c>
      <c r="C148" s="158" t="s">
        <v>45</v>
      </c>
      <c r="D148" s="156" t="s">
        <v>2142</v>
      </c>
      <c r="E148" s="42" t="s">
        <v>3527</v>
      </c>
      <c r="F148" s="38"/>
      <c r="G148" s="38" t="s">
        <v>2196</v>
      </c>
      <c r="H148" s="104" t="s">
        <v>3528</v>
      </c>
      <c r="I148" s="161">
        <v>3642.87</v>
      </c>
      <c r="J148" s="161" t="s">
        <v>1290</v>
      </c>
    </row>
    <row r="149" spans="1:10" s="6" customFormat="1" ht="38.25" x14ac:dyDescent="0.2">
      <c r="A149" s="219"/>
      <c r="B149" s="42">
        <v>58</v>
      </c>
      <c r="C149" s="158" t="s">
        <v>1728</v>
      </c>
      <c r="D149" s="156" t="s">
        <v>2142</v>
      </c>
      <c r="E149" s="42" t="s">
        <v>1729</v>
      </c>
      <c r="F149" s="38"/>
      <c r="G149" s="38" t="s">
        <v>2196</v>
      </c>
      <c r="H149" s="104" t="s">
        <v>3529</v>
      </c>
      <c r="I149" s="161">
        <v>3917.87</v>
      </c>
      <c r="J149" s="161" t="s">
        <v>1290</v>
      </c>
    </row>
    <row r="150" spans="1:10" s="6" customFormat="1" ht="38.25" x14ac:dyDescent="0.2">
      <c r="A150" s="219"/>
      <c r="B150" s="42">
        <v>59</v>
      </c>
      <c r="C150" s="158" t="s">
        <v>41</v>
      </c>
      <c r="D150" s="156" t="s">
        <v>2142</v>
      </c>
      <c r="E150" s="42" t="s">
        <v>3530</v>
      </c>
      <c r="F150" s="38"/>
      <c r="G150" s="38" t="s">
        <v>2196</v>
      </c>
      <c r="H150" s="104" t="s">
        <v>3531</v>
      </c>
      <c r="I150" s="161">
        <v>2044.35</v>
      </c>
      <c r="J150" s="161" t="s">
        <v>1290</v>
      </c>
    </row>
    <row r="151" spans="1:10" s="6" customFormat="1" ht="38.25" x14ac:dyDescent="0.2">
      <c r="A151" s="219"/>
      <c r="B151" s="42">
        <v>60</v>
      </c>
      <c r="C151" s="155" t="s">
        <v>3520</v>
      </c>
      <c r="D151" s="156" t="s">
        <v>2142</v>
      </c>
      <c r="E151" s="42" t="s">
        <v>3532</v>
      </c>
      <c r="F151" s="38"/>
      <c r="G151" s="38" t="s">
        <v>2196</v>
      </c>
      <c r="H151" s="104" t="s">
        <v>3533</v>
      </c>
      <c r="I151" s="161">
        <v>2349.27</v>
      </c>
      <c r="J151" s="161" t="s">
        <v>1290</v>
      </c>
    </row>
    <row r="152" spans="1:10" s="6" customFormat="1" ht="51" x14ac:dyDescent="0.2">
      <c r="A152" s="219"/>
      <c r="B152" s="42">
        <v>61</v>
      </c>
      <c r="C152" s="155" t="s">
        <v>3520</v>
      </c>
      <c r="D152" s="156" t="s">
        <v>1644</v>
      </c>
      <c r="E152" s="42" t="s">
        <v>3941</v>
      </c>
      <c r="F152" s="38"/>
      <c r="G152" s="38" t="s">
        <v>2551</v>
      </c>
      <c r="H152" s="104" t="s">
        <v>3942</v>
      </c>
      <c r="I152" s="161">
        <v>35600.089999999997</v>
      </c>
      <c r="J152" s="161" t="s">
        <v>1290</v>
      </c>
    </row>
    <row r="153" spans="1:10" s="6" customFormat="1" ht="38.25" x14ac:dyDescent="0.2">
      <c r="A153" s="219"/>
      <c r="B153" s="42">
        <v>62</v>
      </c>
      <c r="C153" s="158" t="s">
        <v>41</v>
      </c>
      <c r="D153" s="156" t="s">
        <v>1644</v>
      </c>
      <c r="E153" s="42" t="s">
        <v>2262</v>
      </c>
      <c r="F153" s="38"/>
      <c r="G153" s="38" t="s">
        <v>2636</v>
      </c>
      <c r="H153" s="104" t="s">
        <v>3943</v>
      </c>
      <c r="I153" s="161">
        <v>14448.63</v>
      </c>
      <c r="J153" s="161" t="s">
        <v>1290</v>
      </c>
    </row>
    <row r="154" spans="1:10" s="6" customFormat="1" ht="38.25" x14ac:dyDescent="0.2">
      <c r="A154" s="219"/>
      <c r="B154" s="42">
        <v>63</v>
      </c>
      <c r="C154" s="158" t="s">
        <v>45</v>
      </c>
      <c r="D154" s="156" t="s">
        <v>1644</v>
      </c>
      <c r="E154" s="42" t="s">
        <v>3944</v>
      </c>
      <c r="F154" s="38"/>
      <c r="G154" s="38" t="s">
        <v>2551</v>
      </c>
      <c r="H154" s="104" t="s">
        <v>3945</v>
      </c>
      <c r="I154" s="161">
        <v>1873.77</v>
      </c>
      <c r="J154" s="161" t="s">
        <v>1290</v>
      </c>
    </row>
    <row r="155" spans="1:10" s="6" customFormat="1" ht="38.25" x14ac:dyDescent="0.2">
      <c r="A155" s="219"/>
      <c r="B155" s="42">
        <v>64</v>
      </c>
      <c r="C155" s="158" t="s">
        <v>1728</v>
      </c>
      <c r="D155" s="156" t="s">
        <v>1644</v>
      </c>
      <c r="E155" s="42" t="s">
        <v>1779</v>
      </c>
      <c r="F155" s="38"/>
      <c r="G155" s="38" t="s">
        <v>2283</v>
      </c>
      <c r="H155" s="104" t="s">
        <v>3283</v>
      </c>
      <c r="I155" s="161">
        <v>2898.42</v>
      </c>
      <c r="J155" s="161" t="s">
        <v>1290</v>
      </c>
    </row>
    <row r="156" spans="1:10" s="6" customFormat="1" ht="38.25" x14ac:dyDescent="0.2">
      <c r="A156" s="219"/>
      <c r="B156" s="42">
        <v>65</v>
      </c>
      <c r="C156" s="155" t="s">
        <v>3520</v>
      </c>
      <c r="D156" s="156" t="s">
        <v>3334</v>
      </c>
      <c r="E156" s="42" t="s">
        <v>3964</v>
      </c>
      <c r="F156" s="38"/>
      <c r="G156" s="38" t="s">
        <v>3965</v>
      </c>
      <c r="H156" s="104" t="s">
        <v>3966</v>
      </c>
      <c r="I156" s="161">
        <f>(90252+1948.2)*1.05</f>
        <v>96810.21</v>
      </c>
      <c r="J156" s="161" t="s">
        <v>1290</v>
      </c>
    </row>
    <row r="157" spans="1:10" s="6" customFormat="1" ht="38.25" x14ac:dyDescent="0.2">
      <c r="A157" s="219"/>
      <c r="B157" s="42">
        <v>66</v>
      </c>
      <c r="C157" s="158" t="s">
        <v>45</v>
      </c>
      <c r="D157" s="156" t="s">
        <v>4033</v>
      </c>
      <c r="E157" s="42" t="s">
        <v>3944</v>
      </c>
      <c r="F157" s="38"/>
      <c r="G157" s="38" t="s">
        <v>3477</v>
      </c>
      <c r="H157" s="104" t="s">
        <v>4055</v>
      </c>
      <c r="I157" s="161">
        <f>155*1.05</f>
        <v>162.75</v>
      </c>
      <c r="J157" s="161" t="s">
        <v>1290</v>
      </c>
    </row>
    <row r="158" spans="1:10" s="6" customFormat="1" ht="38.25" x14ac:dyDescent="0.2">
      <c r="A158" s="220"/>
      <c r="B158" s="42">
        <v>67</v>
      </c>
      <c r="C158" s="158" t="s">
        <v>1728</v>
      </c>
      <c r="D158" s="156" t="s">
        <v>4033</v>
      </c>
      <c r="E158" s="42" t="s">
        <v>1779</v>
      </c>
      <c r="F158" s="38"/>
      <c r="G158" s="38" t="s">
        <v>3477</v>
      </c>
      <c r="H158" s="104" t="s">
        <v>4056</v>
      </c>
      <c r="I158" s="161">
        <f>448*1.05</f>
        <v>470.40000000000003</v>
      </c>
      <c r="J158" s="161" t="s">
        <v>1290</v>
      </c>
    </row>
    <row r="159" spans="1:10" s="6" customFormat="1" ht="38.25" x14ac:dyDescent="0.2">
      <c r="A159" s="218" t="s">
        <v>4159</v>
      </c>
      <c r="B159" s="42">
        <v>1</v>
      </c>
      <c r="C159" s="155" t="s">
        <v>45</v>
      </c>
      <c r="D159" s="165" t="s">
        <v>1731</v>
      </c>
      <c r="E159" s="42"/>
      <c r="F159" s="38"/>
      <c r="G159" s="121" t="s">
        <v>1732</v>
      </c>
      <c r="H159" s="104" t="s">
        <v>1733</v>
      </c>
      <c r="I159" s="114">
        <f>136.28*1.05</f>
        <v>143.09399999999999</v>
      </c>
      <c r="J159" s="114"/>
    </row>
    <row r="160" spans="1:10" s="6" customFormat="1" ht="38.25" x14ac:dyDescent="0.2">
      <c r="A160" s="219"/>
      <c r="B160" s="42">
        <v>2</v>
      </c>
      <c r="C160" s="155" t="s">
        <v>45</v>
      </c>
      <c r="D160" s="165" t="s">
        <v>1731</v>
      </c>
      <c r="E160" s="42"/>
      <c r="F160" s="38"/>
      <c r="G160" s="121" t="s">
        <v>1732</v>
      </c>
      <c r="H160" s="104" t="s">
        <v>1734</v>
      </c>
      <c r="I160" s="114">
        <f>231*1.05</f>
        <v>242.55</v>
      </c>
      <c r="J160" s="114"/>
    </row>
    <row r="161" spans="1:10" s="6" customFormat="1" ht="38.25" x14ac:dyDescent="0.2">
      <c r="A161" s="219"/>
      <c r="B161" s="42">
        <v>3</v>
      </c>
      <c r="C161" s="155" t="s">
        <v>1728</v>
      </c>
      <c r="D161" s="165" t="s">
        <v>1731</v>
      </c>
      <c r="E161" s="42"/>
      <c r="F161" s="38"/>
      <c r="G161" s="121" t="s">
        <v>1732</v>
      </c>
      <c r="H161" s="104" t="s">
        <v>1735</v>
      </c>
      <c r="I161" s="114">
        <f>152.4*1.05</f>
        <v>160.02000000000001</v>
      </c>
      <c r="J161" s="114"/>
    </row>
    <row r="162" spans="1:10" s="6" customFormat="1" ht="38.25" x14ac:dyDescent="0.2">
      <c r="A162" s="219"/>
      <c r="B162" s="42">
        <v>4</v>
      </c>
      <c r="C162" s="155" t="s">
        <v>1728</v>
      </c>
      <c r="D162" s="165" t="s">
        <v>1731</v>
      </c>
      <c r="E162" s="42"/>
      <c r="F162" s="38"/>
      <c r="G162" s="121" t="s">
        <v>1732</v>
      </c>
      <c r="H162" s="104" t="s">
        <v>1736</v>
      </c>
      <c r="I162" s="114">
        <f>18*1.05</f>
        <v>18.900000000000002</v>
      </c>
      <c r="J162" s="114"/>
    </row>
    <row r="163" spans="1:10" s="6" customFormat="1" ht="38.25" x14ac:dyDescent="0.2">
      <c r="A163" s="219"/>
      <c r="B163" s="42">
        <v>5</v>
      </c>
      <c r="C163" s="155" t="s">
        <v>41</v>
      </c>
      <c r="D163" s="165" t="s">
        <v>1731</v>
      </c>
      <c r="E163" s="42"/>
      <c r="F163" s="38"/>
      <c r="G163" s="121" t="s">
        <v>1732</v>
      </c>
      <c r="H163" s="104" t="s">
        <v>1764</v>
      </c>
      <c r="I163" s="160">
        <f>8.4*1.05</f>
        <v>8.82</v>
      </c>
      <c r="J163" s="114"/>
    </row>
    <row r="164" spans="1:10" s="6" customFormat="1" ht="38.25" x14ac:dyDescent="0.2">
      <c r="A164" s="219"/>
      <c r="B164" s="42">
        <v>6</v>
      </c>
      <c r="C164" s="155" t="s">
        <v>1713</v>
      </c>
      <c r="D164" s="165" t="s">
        <v>1731</v>
      </c>
      <c r="E164" s="42"/>
      <c r="F164" s="38"/>
      <c r="G164" s="121" t="s">
        <v>1732</v>
      </c>
      <c r="H164" s="104" t="s">
        <v>1765</v>
      </c>
      <c r="I164" s="160">
        <f>982.6*1.05</f>
        <v>1031.73</v>
      </c>
      <c r="J164" s="114"/>
    </row>
    <row r="165" spans="1:10" s="6" customFormat="1" ht="38.25" x14ac:dyDescent="0.2">
      <c r="A165" s="219"/>
      <c r="B165" s="42">
        <v>7</v>
      </c>
      <c r="C165" s="155" t="s">
        <v>1713</v>
      </c>
      <c r="D165" s="165" t="s">
        <v>1731</v>
      </c>
      <c r="E165" s="42"/>
      <c r="F165" s="38"/>
      <c r="G165" s="121" t="s">
        <v>1732</v>
      </c>
      <c r="H165" s="104" t="s">
        <v>1766</v>
      </c>
      <c r="I165" s="160">
        <f>391.85*1.05</f>
        <v>411.44250000000005</v>
      </c>
      <c r="J165" s="114"/>
    </row>
    <row r="166" spans="1:10" s="6" customFormat="1" ht="38.25" x14ac:dyDescent="0.2">
      <c r="A166" s="219"/>
      <c r="B166" s="42">
        <v>8</v>
      </c>
      <c r="C166" s="155" t="s">
        <v>1713</v>
      </c>
      <c r="D166" s="165" t="s">
        <v>1731</v>
      </c>
      <c r="E166" s="42"/>
      <c r="F166" s="38"/>
      <c r="G166" s="121" t="s">
        <v>1732</v>
      </c>
      <c r="H166" s="104" t="s">
        <v>1767</v>
      </c>
      <c r="I166" s="160">
        <f>6044.65*1.05</f>
        <v>6346.8824999999997</v>
      </c>
      <c r="J166" s="114"/>
    </row>
    <row r="167" spans="1:10" s="6" customFormat="1" ht="38.25" x14ac:dyDescent="0.2">
      <c r="A167" s="219"/>
      <c r="B167" s="42">
        <v>9</v>
      </c>
      <c r="C167" s="155" t="s">
        <v>45</v>
      </c>
      <c r="D167" s="165" t="s">
        <v>1731</v>
      </c>
      <c r="E167" s="42"/>
      <c r="F167" s="38"/>
      <c r="G167" s="121" t="s">
        <v>1732</v>
      </c>
      <c r="H167" s="104" t="s">
        <v>1768</v>
      </c>
      <c r="I167" s="160">
        <f>229.8*1.05</f>
        <v>241.29000000000002</v>
      </c>
      <c r="J167" s="114"/>
    </row>
    <row r="168" spans="1:10" s="6" customFormat="1" ht="38.25" x14ac:dyDescent="0.2">
      <c r="A168" s="219"/>
      <c r="B168" s="42">
        <v>10</v>
      </c>
      <c r="C168" s="155" t="s">
        <v>53</v>
      </c>
      <c r="D168" s="165" t="s">
        <v>1731</v>
      </c>
      <c r="E168" s="42">
        <v>5</v>
      </c>
      <c r="F168" s="38"/>
      <c r="G168" s="121" t="s">
        <v>3647</v>
      </c>
      <c r="H168" s="104" t="s">
        <v>3648</v>
      </c>
      <c r="I168" s="160">
        <f>7.5*1.25</f>
        <v>9.375</v>
      </c>
      <c r="J168" s="114"/>
    </row>
    <row r="169" spans="1:10" s="6" customFormat="1" ht="38.25" x14ac:dyDescent="0.2">
      <c r="A169" s="219"/>
      <c r="B169" s="42">
        <v>11</v>
      </c>
      <c r="C169" s="155" t="s">
        <v>53</v>
      </c>
      <c r="D169" s="165" t="s">
        <v>1731</v>
      </c>
      <c r="E169" s="42">
        <v>7</v>
      </c>
      <c r="F169" s="38"/>
      <c r="G169" s="121" t="s">
        <v>3647</v>
      </c>
      <c r="H169" s="104" t="s">
        <v>3649</v>
      </c>
      <c r="I169" s="160">
        <f>9676.8*1.25</f>
        <v>12096</v>
      </c>
      <c r="J169" s="114"/>
    </row>
    <row r="170" spans="1:10" s="6" customFormat="1" ht="38.25" x14ac:dyDescent="0.2">
      <c r="A170" s="219"/>
      <c r="B170" s="42">
        <v>12</v>
      </c>
      <c r="C170" s="155" t="s">
        <v>148</v>
      </c>
      <c r="D170" s="165" t="s">
        <v>1731</v>
      </c>
      <c r="E170" s="42">
        <v>8</v>
      </c>
      <c r="F170" s="38"/>
      <c r="G170" s="121" t="s">
        <v>3647</v>
      </c>
      <c r="H170" s="104" t="s">
        <v>3650</v>
      </c>
      <c r="I170" s="160">
        <f>58.6*1.25</f>
        <v>73.25</v>
      </c>
      <c r="J170" s="114"/>
    </row>
    <row r="171" spans="1:10" s="6" customFormat="1" ht="38.25" x14ac:dyDescent="0.2">
      <c r="A171" s="220"/>
      <c r="B171" s="42">
        <v>13</v>
      </c>
      <c r="C171" s="155" t="s">
        <v>53</v>
      </c>
      <c r="D171" s="165" t="s">
        <v>1731</v>
      </c>
      <c r="E171" s="42">
        <v>9</v>
      </c>
      <c r="F171" s="38"/>
      <c r="G171" s="121" t="s">
        <v>3647</v>
      </c>
      <c r="H171" s="104" t="s">
        <v>3651</v>
      </c>
      <c r="I171" s="160">
        <f>13856.5*1.25</f>
        <v>17320.625</v>
      </c>
      <c r="J171" s="114"/>
    </row>
    <row r="172" spans="1:10" s="6" customFormat="1" ht="38.25" x14ac:dyDescent="0.2">
      <c r="A172" s="218" t="s">
        <v>1784</v>
      </c>
      <c r="B172" s="42">
        <v>1</v>
      </c>
      <c r="C172" s="155" t="s">
        <v>45</v>
      </c>
      <c r="D172" s="156" t="s">
        <v>1641</v>
      </c>
      <c r="E172" s="42" t="s">
        <v>1785</v>
      </c>
      <c r="F172" s="38"/>
      <c r="G172" s="121" t="s">
        <v>2165</v>
      </c>
      <c r="H172" s="104" t="s">
        <v>2219</v>
      </c>
      <c r="I172" s="161">
        <v>2031.29</v>
      </c>
      <c r="J172" s="159" t="s">
        <v>1290</v>
      </c>
    </row>
    <row r="173" spans="1:10" s="6" customFormat="1" ht="38.25" x14ac:dyDescent="0.2">
      <c r="A173" s="219"/>
      <c r="B173" s="42">
        <v>2</v>
      </c>
      <c r="C173" s="155" t="s">
        <v>1728</v>
      </c>
      <c r="D173" s="165" t="s">
        <v>1731</v>
      </c>
      <c r="E173" s="42"/>
      <c r="F173" s="38"/>
      <c r="G173" s="121" t="s">
        <v>2165</v>
      </c>
      <c r="H173" s="104" t="s">
        <v>2220</v>
      </c>
      <c r="I173" s="161">
        <f>18.8*1.05</f>
        <v>19.740000000000002</v>
      </c>
      <c r="J173" s="159" t="s">
        <v>1290</v>
      </c>
    </row>
    <row r="174" spans="1:10" s="6" customFormat="1" ht="38.25" x14ac:dyDescent="0.2">
      <c r="A174" s="219"/>
      <c r="B174" s="42">
        <v>3</v>
      </c>
      <c r="C174" s="155" t="s">
        <v>307</v>
      </c>
      <c r="D174" s="165" t="s">
        <v>1731</v>
      </c>
      <c r="E174" s="42"/>
      <c r="F174" s="38"/>
      <c r="G174" s="121" t="s">
        <v>2165</v>
      </c>
      <c r="H174" s="104" t="s">
        <v>2221</v>
      </c>
      <c r="I174" s="161">
        <f>28*1.05</f>
        <v>29.400000000000002</v>
      </c>
      <c r="J174" s="159" t="s">
        <v>1290</v>
      </c>
    </row>
    <row r="175" spans="1:10" s="6" customFormat="1" ht="38.25" x14ac:dyDescent="0.2">
      <c r="A175" s="219"/>
      <c r="B175" s="42">
        <v>4</v>
      </c>
      <c r="C175" s="155" t="s">
        <v>45</v>
      </c>
      <c r="D175" s="165" t="s">
        <v>1769</v>
      </c>
      <c r="E175" s="42" t="s">
        <v>2004</v>
      </c>
      <c r="F175" s="38"/>
      <c r="G175" s="121" t="s">
        <v>2165</v>
      </c>
      <c r="H175" s="104" t="s">
        <v>2222</v>
      </c>
      <c r="I175" s="161">
        <v>1537.33</v>
      </c>
      <c r="J175" s="159" t="s">
        <v>1290</v>
      </c>
    </row>
    <row r="176" spans="1:10" s="6" customFormat="1" ht="38.25" x14ac:dyDescent="0.2">
      <c r="A176" s="219"/>
      <c r="B176" s="42">
        <v>5</v>
      </c>
      <c r="C176" s="158" t="s">
        <v>41</v>
      </c>
      <c r="D176" s="165" t="s">
        <v>1769</v>
      </c>
      <c r="E176" s="42" t="s">
        <v>2006</v>
      </c>
      <c r="F176" s="38"/>
      <c r="G176" s="121" t="s">
        <v>2165</v>
      </c>
      <c r="H176" s="104" t="s">
        <v>2222</v>
      </c>
      <c r="I176" s="161">
        <v>418175.14</v>
      </c>
      <c r="J176" s="159" t="s">
        <v>1290</v>
      </c>
    </row>
    <row r="177" spans="1:10" s="6" customFormat="1" ht="38.25" x14ac:dyDescent="0.2">
      <c r="A177" s="219"/>
      <c r="B177" s="42">
        <v>6</v>
      </c>
      <c r="C177" s="155" t="s">
        <v>1713</v>
      </c>
      <c r="D177" s="165" t="s">
        <v>1769</v>
      </c>
      <c r="E177" s="42" t="s">
        <v>2007</v>
      </c>
      <c r="F177" s="38"/>
      <c r="G177" s="121" t="s">
        <v>2165</v>
      </c>
      <c r="H177" s="104" t="s">
        <v>2222</v>
      </c>
      <c r="I177" s="161">
        <v>11634.21</v>
      </c>
      <c r="J177" s="159" t="s">
        <v>1290</v>
      </c>
    </row>
    <row r="178" spans="1:10" s="6" customFormat="1" ht="38.25" x14ac:dyDescent="0.2">
      <c r="A178" s="219"/>
      <c r="B178" s="42">
        <v>7</v>
      </c>
      <c r="C178" s="152" t="s">
        <v>1728</v>
      </c>
      <c r="D178" s="165" t="s">
        <v>1769</v>
      </c>
      <c r="E178" s="42" t="s">
        <v>2009</v>
      </c>
      <c r="F178" s="38"/>
      <c r="G178" s="121" t="s">
        <v>2165</v>
      </c>
      <c r="H178" s="104" t="s">
        <v>2222</v>
      </c>
      <c r="I178" s="161">
        <v>208.11</v>
      </c>
      <c r="J178" s="159" t="s">
        <v>1290</v>
      </c>
    </row>
    <row r="179" spans="1:10" s="6" customFormat="1" ht="38.25" x14ac:dyDescent="0.2">
      <c r="A179" s="219"/>
      <c r="B179" s="42">
        <v>8</v>
      </c>
      <c r="C179" s="155" t="s">
        <v>1713</v>
      </c>
      <c r="D179" s="156" t="s">
        <v>1641</v>
      </c>
      <c r="E179" s="42" t="s">
        <v>2164</v>
      </c>
      <c r="F179" s="38"/>
      <c r="G179" s="121" t="s">
        <v>2165</v>
      </c>
      <c r="H179" s="104" t="s">
        <v>2166</v>
      </c>
      <c r="I179" s="161">
        <v>4145.09</v>
      </c>
      <c r="J179" s="159" t="s">
        <v>1290</v>
      </c>
    </row>
    <row r="180" spans="1:10" s="6" customFormat="1" ht="38.25" x14ac:dyDescent="0.2">
      <c r="A180" s="219"/>
      <c r="B180" s="42">
        <v>9</v>
      </c>
      <c r="C180" s="158" t="s">
        <v>41</v>
      </c>
      <c r="D180" s="156" t="s">
        <v>2154</v>
      </c>
      <c r="E180" s="42" t="s">
        <v>2006</v>
      </c>
      <c r="F180" s="38"/>
      <c r="G180" s="121" t="s">
        <v>2165</v>
      </c>
      <c r="H180" s="104" t="s">
        <v>2167</v>
      </c>
      <c r="I180" s="161">
        <f>(882+74755.72+786768.6)*1.05</f>
        <v>905526.63599999994</v>
      </c>
      <c r="J180" s="159" t="s">
        <v>1290</v>
      </c>
    </row>
    <row r="181" spans="1:10" s="6" customFormat="1" ht="38.25" x14ac:dyDescent="0.2">
      <c r="A181" s="219"/>
      <c r="B181" s="42">
        <v>10</v>
      </c>
      <c r="C181" s="152" t="s">
        <v>1728</v>
      </c>
      <c r="D181" s="156" t="s">
        <v>2154</v>
      </c>
      <c r="E181" s="42" t="s">
        <v>2168</v>
      </c>
      <c r="F181" s="38"/>
      <c r="G181" s="121" t="s">
        <v>2165</v>
      </c>
      <c r="H181" s="104" t="s">
        <v>2216</v>
      </c>
      <c r="I181" s="161">
        <f>(233.1+85.5+16.52+17.4+9.9)*1.05</f>
        <v>380.541</v>
      </c>
      <c r="J181" s="159" t="s">
        <v>1290</v>
      </c>
    </row>
    <row r="182" spans="1:10" s="6" customFormat="1" ht="38.25" x14ac:dyDescent="0.2">
      <c r="A182" s="219"/>
      <c r="B182" s="42">
        <v>11</v>
      </c>
      <c r="C182" s="155" t="s">
        <v>45</v>
      </c>
      <c r="D182" s="156" t="s">
        <v>2154</v>
      </c>
      <c r="E182" s="42" t="s">
        <v>1785</v>
      </c>
      <c r="F182" s="38"/>
      <c r="G182" s="121" t="s">
        <v>2165</v>
      </c>
      <c r="H182" s="104" t="s">
        <v>2218</v>
      </c>
      <c r="I182" s="161">
        <f>(31.2+70+1092+94.08+258.2+169.28+58.8+34.5+340.8+231+46.8)*1.05</f>
        <v>2547.9930000000004</v>
      </c>
      <c r="J182" s="159" t="s">
        <v>1290</v>
      </c>
    </row>
    <row r="183" spans="1:10" s="6" customFormat="1" ht="38.25" x14ac:dyDescent="0.2">
      <c r="A183" s="219"/>
      <c r="B183" s="42">
        <v>12</v>
      </c>
      <c r="C183" s="152" t="s">
        <v>1728</v>
      </c>
      <c r="D183" s="156" t="s">
        <v>1641</v>
      </c>
      <c r="E183" s="42" t="s">
        <v>2169</v>
      </c>
      <c r="F183" s="38"/>
      <c r="G183" s="121" t="s">
        <v>2165</v>
      </c>
      <c r="H183" s="104" t="s">
        <v>2223</v>
      </c>
      <c r="I183" s="161">
        <v>983.64</v>
      </c>
      <c r="J183" s="159" t="s">
        <v>1290</v>
      </c>
    </row>
    <row r="184" spans="1:10" s="6" customFormat="1" ht="38.25" x14ac:dyDescent="0.2">
      <c r="A184" s="219"/>
      <c r="B184" s="42">
        <v>13</v>
      </c>
      <c r="C184" s="158" t="s">
        <v>41</v>
      </c>
      <c r="D184" s="156" t="s">
        <v>1641</v>
      </c>
      <c r="E184" s="42" t="s">
        <v>2006</v>
      </c>
      <c r="F184" s="38"/>
      <c r="G184" s="121" t="s">
        <v>2165</v>
      </c>
      <c r="H184" s="104" t="s">
        <v>2224</v>
      </c>
      <c r="I184" s="161">
        <v>121136.4</v>
      </c>
      <c r="J184" s="159" t="s">
        <v>1290</v>
      </c>
    </row>
    <row r="185" spans="1:10" s="6" customFormat="1" ht="38.25" x14ac:dyDescent="0.2">
      <c r="A185" s="219"/>
      <c r="B185" s="42">
        <v>14</v>
      </c>
      <c r="C185" s="155" t="s">
        <v>45</v>
      </c>
      <c r="D185" s="156" t="s">
        <v>1692</v>
      </c>
      <c r="E185" s="42" t="s">
        <v>2170</v>
      </c>
      <c r="F185" s="38"/>
      <c r="G185" s="121" t="s">
        <v>2165</v>
      </c>
      <c r="H185" s="104" t="s">
        <v>2218</v>
      </c>
      <c r="I185" s="161">
        <v>1782.25</v>
      </c>
      <c r="J185" s="159" t="s">
        <v>1290</v>
      </c>
    </row>
    <row r="186" spans="1:10" s="6" customFormat="1" ht="38.25" x14ac:dyDescent="0.2">
      <c r="A186" s="219"/>
      <c r="B186" s="42">
        <v>15</v>
      </c>
      <c r="C186" s="152" t="s">
        <v>1728</v>
      </c>
      <c r="D186" s="156" t="s">
        <v>1692</v>
      </c>
      <c r="E186" s="42" t="s">
        <v>2169</v>
      </c>
      <c r="F186" s="38"/>
      <c r="G186" s="121" t="s">
        <v>2165</v>
      </c>
      <c r="H186" s="104" t="s">
        <v>2216</v>
      </c>
      <c r="I186" s="161">
        <v>95.59</v>
      </c>
      <c r="J186" s="159" t="s">
        <v>1290</v>
      </c>
    </row>
    <row r="187" spans="1:10" s="6" customFormat="1" ht="38.25" x14ac:dyDescent="0.2">
      <c r="A187" s="219"/>
      <c r="B187" s="42">
        <v>16</v>
      </c>
      <c r="C187" s="155" t="s">
        <v>1713</v>
      </c>
      <c r="D187" s="156" t="s">
        <v>1692</v>
      </c>
      <c r="E187" s="42" t="s">
        <v>2171</v>
      </c>
      <c r="F187" s="38"/>
      <c r="G187" s="121" t="s">
        <v>2165</v>
      </c>
      <c r="H187" s="104" t="s">
        <v>2225</v>
      </c>
      <c r="I187" s="161">
        <v>7053.06</v>
      </c>
      <c r="J187" s="159" t="s">
        <v>1290</v>
      </c>
    </row>
    <row r="188" spans="1:10" s="6" customFormat="1" ht="38.25" x14ac:dyDescent="0.2">
      <c r="A188" s="219"/>
      <c r="B188" s="42">
        <v>17</v>
      </c>
      <c r="C188" s="158" t="s">
        <v>41</v>
      </c>
      <c r="D188" s="156" t="s">
        <v>1692</v>
      </c>
      <c r="E188" s="42" t="s">
        <v>2006</v>
      </c>
      <c r="F188" s="38"/>
      <c r="G188" s="121" t="s">
        <v>2165</v>
      </c>
      <c r="H188" s="104" t="s">
        <v>2167</v>
      </c>
      <c r="I188" s="161">
        <v>438997.65</v>
      </c>
      <c r="J188" s="159" t="s">
        <v>1290</v>
      </c>
    </row>
    <row r="189" spans="1:10" s="6" customFormat="1" ht="38.25" x14ac:dyDescent="0.2">
      <c r="A189" s="219"/>
      <c r="B189" s="42">
        <v>18</v>
      </c>
      <c r="C189" s="152" t="s">
        <v>307</v>
      </c>
      <c r="D189" s="156" t="s">
        <v>1692</v>
      </c>
      <c r="E189" s="42">
        <v>67</v>
      </c>
      <c r="F189" s="38"/>
      <c r="G189" s="121" t="s">
        <v>2165</v>
      </c>
      <c r="H189" s="104" t="s">
        <v>2172</v>
      </c>
      <c r="I189" s="161">
        <v>17.64</v>
      </c>
      <c r="J189" s="159" t="s">
        <v>1290</v>
      </c>
    </row>
    <row r="190" spans="1:10" s="6" customFormat="1" ht="38.25" x14ac:dyDescent="0.2">
      <c r="A190" s="219"/>
      <c r="B190" s="42">
        <v>19</v>
      </c>
      <c r="C190" s="152" t="s">
        <v>307</v>
      </c>
      <c r="D190" s="156" t="s">
        <v>1618</v>
      </c>
      <c r="E190" s="42">
        <v>67</v>
      </c>
      <c r="F190" s="38"/>
      <c r="G190" s="121" t="s">
        <v>2165</v>
      </c>
      <c r="H190" s="104" t="s">
        <v>2214</v>
      </c>
      <c r="I190" s="161">
        <v>176.4</v>
      </c>
      <c r="J190" s="159" t="s">
        <v>1290</v>
      </c>
    </row>
    <row r="191" spans="1:10" s="6" customFormat="1" ht="38.25" x14ac:dyDescent="0.2">
      <c r="A191" s="219"/>
      <c r="B191" s="42">
        <v>20</v>
      </c>
      <c r="C191" s="152" t="s">
        <v>1728</v>
      </c>
      <c r="D191" s="156" t="s">
        <v>1618</v>
      </c>
      <c r="E191" s="42" t="s">
        <v>2215</v>
      </c>
      <c r="F191" s="38"/>
      <c r="G191" s="121" t="s">
        <v>2165</v>
      </c>
      <c r="H191" s="104" t="s">
        <v>2216</v>
      </c>
      <c r="I191" s="161">
        <f>271.95+209.48</f>
        <v>481.42999999999995</v>
      </c>
      <c r="J191" s="159" t="s">
        <v>1290</v>
      </c>
    </row>
    <row r="192" spans="1:10" s="6" customFormat="1" ht="38.25" x14ac:dyDescent="0.2">
      <c r="A192" s="219"/>
      <c r="B192" s="42">
        <v>21</v>
      </c>
      <c r="C192" s="155" t="s">
        <v>45</v>
      </c>
      <c r="D192" s="156" t="s">
        <v>1618</v>
      </c>
      <c r="E192" s="42" t="s">
        <v>2217</v>
      </c>
      <c r="F192" s="38"/>
      <c r="G192" s="121" t="s">
        <v>2165</v>
      </c>
      <c r="H192" s="104" t="s">
        <v>2218</v>
      </c>
      <c r="I192" s="161">
        <f>900.9+264.6+189+1808.1+92.61+543.9+11.76+50.72+386.4+180.18</f>
        <v>4428.17</v>
      </c>
      <c r="J192" s="159" t="s">
        <v>1290</v>
      </c>
    </row>
    <row r="193" spans="1:10" s="6" customFormat="1" ht="38.25" x14ac:dyDescent="0.2">
      <c r="A193" s="219"/>
      <c r="B193" s="42">
        <v>22</v>
      </c>
      <c r="C193" s="158" t="s">
        <v>41</v>
      </c>
      <c r="D193" s="156" t="s">
        <v>1618</v>
      </c>
      <c r="E193" s="42" t="s">
        <v>2006</v>
      </c>
      <c r="F193" s="38"/>
      <c r="G193" s="121" t="s">
        <v>2165</v>
      </c>
      <c r="H193" s="104" t="s">
        <v>2167</v>
      </c>
      <c r="I193" s="161">
        <f>1323+33688.2+205669.8</f>
        <v>240681</v>
      </c>
      <c r="J193" s="159" t="s">
        <v>1290</v>
      </c>
    </row>
    <row r="194" spans="1:10" s="6" customFormat="1" ht="38.25" x14ac:dyDescent="0.2">
      <c r="A194" s="219"/>
      <c r="B194" s="42">
        <v>23</v>
      </c>
      <c r="C194" s="152" t="s">
        <v>148</v>
      </c>
      <c r="D194" s="156" t="s">
        <v>1618</v>
      </c>
      <c r="E194" s="42">
        <v>42</v>
      </c>
      <c r="F194" s="38"/>
      <c r="G194" s="121" t="s">
        <v>2165</v>
      </c>
      <c r="H194" s="104" t="s">
        <v>2226</v>
      </c>
      <c r="I194" s="161">
        <v>89.78</v>
      </c>
      <c r="J194" s="159" t="s">
        <v>1290</v>
      </c>
    </row>
    <row r="195" spans="1:10" s="6" customFormat="1" ht="38.25" x14ac:dyDescent="0.2">
      <c r="A195" s="219"/>
      <c r="B195" s="42">
        <v>24</v>
      </c>
      <c r="C195" s="155" t="s">
        <v>1713</v>
      </c>
      <c r="D195" s="156" t="s">
        <v>1618</v>
      </c>
      <c r="E195" s="42" t="s">
        <v>2227</v>
      </c>
      <c r="F195" s="38"/>
      <c r="G195" s="121" t="s">
        <v>2165</v>
      </c>
      <c r="H195" s="104" t="s">
        <v>2225</v>
      </c>
      <c r="I195" s="161">
        <f>26932.5+1014.3+1323+819+756+1056.83+70.56+585.9+289.9+1056.83+267.75</f>
        <v>34172.57</v>
      </c>
      <c r="J195" s="159" t="s">
        <v>1290</v>
      </c>
    </row>
    <row r="196" spans="1:10" s="6" customFormat="1" ht="38.25" x14ac:dyDescent="0.2">
      <c r="A196" s="219"/>
      <c r="B196" s="42">
        <v>25</v>
      </c>
      <c r="C196" s="155" t="s">
        <v>1713</v>
      </c>
      <c r="D196" s="156" t="s">
        <v>1656</v>
      </c>
      <c r="E196" s="42" t="s">
        <v>2228</v>
      </c>
      <c r="F196" s="38"/>
      <c r="G196" s="121" t="s">
        <v>2165</v>
      </c>
      <c r="H196" s="104" t="s">
        <v>2225</v>
      </c>
      <c r="I196" s="161">
        <v>3969</v>
      </c>
      <c r="J196" s="159" t="s">
        <v>1290</v>
      </c>
    </row>
    <row r="197" spans="1:10" s="6" customFormat="1" ht="38.25" x14ac:dyDescent="0.2">
      <c r="A197" s="219"/>
      <c r="B197" s="42">
        <v>26</v>
      </c>
      <c r="C197" s="158" t="s">
        <v>41</v>
      </c>
      <c r="D197" s="156" t="s">
        <v>1656</v>
      </c>
      <c r="E197" s="42" t="s">
        <v>2229</v>
      </c>
      <c r="F197" s="38"/>
      <c r="G197" s="121" t="s">
        <v>2165</v>
      </c>
      <c r="H197" s="104" t="s">
        <v>2167</v>
      </c>
      <c r="I197" s="161">
        <v>241712.1</v>
      </c>
      <c r="J197" s="159" t="s">
        <v>1290</v>
      </c>
    </row>
    <row r="198" spans="1:10" s="6" customFormat="1" ht="38.25" x14ac:dyDescent="0.2">
      <c r="A198" s="219"/>
      <c r="B198" s="42">
        <v>27</v>
      </c>
      <c r="C198" s="152" t="s">
        <v>148</v>
      </c>
      <c r="D198" s="156" t="s">
        <v>1656</v>
      </c>
      <c r="E198" s="42">
        <v>42</v>
      </c>
      <c r="F198" s="38"/>
      <c r="G198" s="121" t="s">
        <v>2165</v>
      </c>
      <c r="H198" s="104" t="s">
        <v>2226</v>
      </c>
      <c r="I198" s="161">
        <v>179.55</v>
      </c>
      <c r="J198" s="159" t="s">
        <v>1290</v>
      </c>
    </row>
    <row r="199" spans="1:10" s="6" customFormat="1" ht="38.25" x14ac:dyDescent="0.2">
      <c r="A199" s="219"/>
      <c r="B199" s="42">
        <v>28</v>
      </c>
      <c r="C199" s="152" t="s">
        <v>1728</v>
      </c>
      <c r="D199" s="156" t="s">
        <v>1656</v>
      </c>
      <c r="E199" s="42" t="s">
        <v>2230</v>
      </c>
      <c r="F199" s="38"/>
      <c r="G199" s="121" t="s">
        <v>2165</v>
      </c>
      <c r="H199" s="104" t="s">
        <v>2216</v>
      </c>
      <c r="I199" s="161">
        <v>1005.9</v>
      </c>
      <c r="J199" s="159" t="s">
        <v>1290</v>
      </c>
    </row>
    <row r="200" spans="1:10" s="6" customFormat="1" ht="38.25" x14ac:dyDescent="0.2">
      <c r="A200" s="219"/>
      <c r="B200" s="42">
        <v>29</v>
      </c>
      <c r="C200" s="155" t="s">
        <v>45</v>
      </c>
      <c r="D200" s="156" t="s">
        <v>1656</v>
      </c>
      <c r="E200" s="42" t="s">
        <v>2231</v>
      </c>
      <c r="F200" s="38"/>
      <c r="G200" s="121" t="s">
        <v>2165</v>
      </c>
      <c r="H200" s="104" t="s">
        <v>2218</v>
      </c>
      <c r="I200" s="161">
        <v>4536</v>
      </c>
      <c r="J200" s="159" t="s">
        <v>1290</v>
      </c>
    </row>
    <row r="201" spans="1:10" s="6" customFormat="1" ht="38.25" x14ac:dyDescent="0.2">
      <c r="A201" s="219"/>
      <c r="B201" s="42">
        <v>30</v>
      </c>
      <c r="C201" s="155" t="s">
        <v>45</v>
      </c>
      <c r="D201" s="156" t="s">
        <v>2259</v>
      </c>
      <c r="E201" s="42" t="s">
        <v>2170</v>
      </c>
      <c r="F201" s="38"/>
      <c r="G201" s="121" t="s">
        <v>1687</v>
      </c>
      <c r="H201" s="104" t="s">
        <v>2278</v>
      </c>
      <c r="I201" s="161">
        <v>525</v>
      </c>
      <c r="J201" s="159" t="s">
        <v>1290</v>
      </c>
    </row>
    <row r="202" spans="1:10" s="6" customFormat="1" ht="38.25" x14ac:dyDescent="0.2">
      <c r="A202" s="219"/>
      <c r="B202" s="42">
        <v>31</v>
      </c>
      <c r="C202" s="155" t="s">
        <v>1713</v>
      </c>
      <c r="D202" s="156" t="s">
        <v>2259</v>
      </c>
      <c r="E202" s="42" t="s">
        <v>2279</v>
      </c>
      <c r="F202" s="38"/>
      <c r="G202" s="121" t="s">
        <v>1706</v>
      </c>
      <c r="H202" s="104" t="s">
        <v>2280</v>
      </c>
      <c r="I202" s="161">
        <v>3106.95</v>
      </c>
      <c r="J202" s="159" t="s">
        <v>1290</v>
      </c>
    </row>
    <row r="203" spans="1:10" s="6" customFormat="1" ht="38.25" x14ac:dyDescent="0.2">
      <c r="A203" s="219"/>
      <c r="B203" s="42">
        <v>32</v>
      </c>
      <c r="C203" s="158" t="s">
        <v>41</v>
      </c>
      <c r="D203" s="156" t="s">
        <v>2259</v>
      </c>
      <c r="E203" s="42" t="s">
        <v>2006</v>
      </c>
      <c r="F203" s="38"/>
      <c r="G203" s="121" t="s">
        <v>1706</v>
      </c>
      <c r="H203" s="104" t="s">
        <v>2281</v>
      </c>
      <c r="I203" s="161">
        <v>153607.20000000001</v>
      </c>
      <c r="J203" s="159" t="s">
        <v>1290</v>
      </c>
    </row>
    <row r="204" spans="1:10" s="6" customFormat="1" ht="38.25" x14ac:dyDescent="0.2">
      <c r="A204" s="219"/>
      <c r="B204" s="42">
        <v>33</v>
      </c>
      <c r="C204" s="155" t="s">
        <v>1713</v>
      </c>
      <c r="D204" s="156" t="s">
        <v>2154</v>
      </c>
      <c r="E204" s="42" t="s">
        <v>2315</v>
      </c>
      <c r="F204" s="38"/>
      <c r="G204" s="121" t="s">
        <v>2316</v>
      </c>
      <c r="H204" s="104" t="s">
        <v>2317</v>
      </c>
      <c r="I204" s="161">
        <f>(202.5+252+246.1+1789.2+499.2+2016+976.5+522+1118.7+30.6)*1.05</f>
        <v>8035.4400000000005</v>
      </c>
      <c r="J204" s="159" t="s">
        <v>1290</v>
      </c>
    </row>
    <row r="205" spans="1:10" s="6" customFormat="1" ht="38.25" x14ac:dyDescent="0.2">
      <c r="A205" s="219"/>
      <c r="B205" s="42">
        <v>34</v>
      </c>
      <c r="C205" s="158" t="s">
        <v>41</v>
      </c>
      <c r="D205" s="153" t="s">
        <v>2352</v>
      </c>
      <c r="E205" s="42" t="s">
        <v>2006</v>
      </c>
      <c r="F205" s="38"/>
      <c r="G205" s="121" t="s">
        <v>1706</v>
      </c>
      <c r="H205" s="104" t="s">
        <v>2355</v>
      </c>
      <c r="I205" s="161">
        <v>117736.29</v>
      </c>
      <c r="J205" s="159" t="s">
        <v>1290</v>
      </c>
    </row>
    <row r="206" spans="1:10" s="6" customFormat="1" ht="38.25" x14ac:dyDescent="0.2">
      <c r="A206" s="219"/>
      <c r="B206" s="42">
        <v>35</v>
      </c>
      <c r="C206" s="155" t="s">
        <v>1713</v>
      </c>
      <c r="D206" s="153" t="s">
        <v>2352</v>
      </c>
      <c r="E206" s="42" t="s">
        <v>2356</v>
      </c>
      <c r="F206" s="38"/>
      <c r="G206" s="121" t="s">
        <v>1706</v>
      </c>
      <c r="H206" s="104" t="s">
        <v>2357</v>
      </c>
      <c r="I206" s="161">
        <v>2815.48</v>
      </c>
      <c r="J206" s="159" t="s">
        <v>1290</v>
      </c>
    </row>
    <row r="207" spans="1:10" s="6" customFormat="1" ht="38.25" x14ac:dyDescent="0.2">
      <c r="A207" s="219"/>
      <c r="B207" s="42">
        <v>36</v>
      </c>
      <c r="C207" s="155" t="s">
        <v>45</v>
      </c>
      <c r="D207" s="153" t="s">
        <v>2352</v>
      </c>
      <c r="E207" s="42" t="s">
        <v>2358</v>
      </c>
      <c r="F207" s="38"/>
      <c r="G207" s="121" t="s">
        <v>1687</v>
      </c>
      <c r="H207" s="104" t="s">
        <v>2359</v>
      </c>
      <c r="I207" s="161">
        <v>398.04</v>
      </c>
      <c r="J207" s="159" t="s">
        <v>1290</v>
      </c>
    </row>
    <row r="208" spans="1:10" s="6" customFormat="1" ht="38.25" x14ac:dyDescent="0.2">
      <c r="A208" s="219"/>
      <c r="B208" s="42">
        <v>37</v>
      </c>
      <c r="C208" s="155" t="s">
        <v>1713</v>
      </c>
      <c r="D208" s="153" t="s">
        <v>2383</v>
      </c>
      <c r="E208" s="42" t="s">
        <v>2388</v>
      </c>
      <c r="F208" s="38"/>
      <c r="G208" s="121" t="s">
        <v>2384</v>
      </c>
      <c r="H208" s="104" t="s">
        <v>2385</v>
      </c>
      <c r="I208" s="161">
        <v>8078.49</v>
      </c>
      <c r="J208" s="159" t="s">
        <v>1290</v>
      </c>
    </row>
    <row r="209" spans="1:10" s="6" customFormat="1" ht="38.25" x14ac:dyDescent="0.2">
      <c r="A209" s="219"/>
      <c r="B209" s="42">
        <v>38</v>
      </c>
      <c r="C209" s="155" t="s">
        <v>45</v>
      </c>
      <c r="D209" s="153" t="s">
        <v>2383</v>
      </c>
      <c r="E209" s="42" t="s">
        <v>1785</v>
      </c>
      <c r="F209" s="38"/>
      <c r="G209" s="121" t="s">
        <v>2386</v>
      </c>
      <c r="H209" s="104" t="s">
        <v>2387</v>
      </c>
      <c r="I209" s="161">
        <v>3585.63</v>
      </c>
      <c r="J209" s="159" t="s">
        <v>1290</v>
      </c>
    </row>
    <row r="210" spans="1:10" s="6" customFormat="1" ht="38.25" x14ac:dyDescent="0.2">
      <c r="A210" s="219"/>
      <c r="B210" s="42">
        <v>39</v>
      </c>
      <c r="C210" s="158" t="s">
        <v>41</v>
      </c>
      <c r="D210" s="153" t="s">
        <v>2383</v>
      </c>
      <c r="E210" s="42">
        <v>45</v>
      </c>
      <c r="F210" s="38"/>
      <c r="G210" s="121" t="s">
        <v>2389</v>
      </c>
      <c r="H210" s="104" t="s">
        <v>2390</v>
      </c>
      <c r="I210" s="161">
        <v>229.32</v>
      </c>
      <c r="J210" s="159" t="s">
        <v>1290</v>
      </c>
    </row>
    <row r="211" spans="1:10" s="6" customFormat="1" ht="38.25" x14ac:dyDescent="0.2">
      <c r="A211" s="219"/>
      <c r="B211" s="42">
        <v>40</v>
      </c>
      <c r="C211" s="155" t="s">
        <v>45</v>
      </c>
      <c r="D211" s="153" t="s">
        <v>2383</v>
      </c>
      <c r="E211" s="42" t="s">
        <v>2391</v>
      </c>
      <c r="F211" s="38"/>
      <c r="G211" s="121" t="s">
        <v>2386</v>
      </c>
      <c r="H211" s="104" t="s">
        <v>2392</v>
      </c>
      <c r="I211" s="161">
        <v>1938.05</v>
      </c>
      <c r="J211" s="159" t="s">
        <v>1290</v>
      </c>
    </row>
    <row r="212" spans="1:10" s="6" customFormat="1" ht="38.25" x14ac:dyDescent="0.2">
      <c r="A212" s="219"/>
      <c r="B212" s="42">
        <v>41</v>
      </c>
      <c r="C212" s="152" t="s">
        <v>1728</v>
      </c>
      <c r="D212" s="153" t="s">
        <v>2383</v>
      </c>
      <c r="E212" s="42" t="s">
        <v>2426</v>
      </c>
      <c r="F212" s="38"/>
      <c r="G212" s="121" t="s">
        <v>2386</v>
      </c>
      <c r="H212" s="104" t="s">
        <v>2427</v>
      </c>
      <c r="I212" s="161">
        <v>1152.53</v>
      </c>
      <c r="J212" s="159" t="s">
        <v>1290</v>
      </c>
    </row>
    <row r="213" spans="1:10" s="6" customFormat="1" ht="38.25" x14ac:dyDescent="0.2">
      <c r="A213" s="219"/>
      <c r="B213" s="42">
        <v>42</v>
      </c>
      <c r="C213" s="154" t="s">
        <v>2519</v>
      </c>
      <c r="D213" s="156" t="s">
        <v>2554</v>
      </c>
      <c r="E213" s="42" t="s">
        <v>2164</v>
      </c>
      <c r="F213" s="38"/>
      <c r="G213" s="121" t="s">
        <v>2521</v>
      </c>
      <c r="H213" s="104" t="s">
        <v>2556</v>
      </c>
      <c r="I213" s="161">
        <v>23322.6</v>
      </c>
      <c r="J213" s="159" t="s">
        <v>1290</v>
      </c>
    </row>
    <row r="214" spans="1:10" s="6" customFormat="1" ht="38.25" x14ac:dyDescent="0.2">
      <c r="A214" s="219"/>
      <c r="B214" s="42">
        <v>43</v>
      </c>
      <c r="C214" s="158" t="s">
        <v>41</v>
      </c>
      <c r="D214" s="156" t="s">
        <v>2554</v>
      </c>
      <c r="E214" s="42" t="s">
        <v>2006</v>
      </c>
      <c r="F214" s="38"/>
      <c r="G214" s="121" t="s">
        <v>2521</v>
      </c>
      <c r="H214" s="104" t="s">
        <v>2556</v>
      </c>
      <c r="I214" s="161">
        <v>717302.88</v>
      </c>
      <c r="J214" s="159" t="s">
        <v>1290</v>
      </c>
    </row>
    <row r="215" spans="1:10" s="6" customFormat="1" ht="38.25" x14ac:dyDescent="0.2">
      <c r="A215" s="219"/>
      <c r="B215" s="42">
        <v>44</v>
      </c>
      <c r="C215" s="155" t="s">
        <v>45</v>
      </c>
      <c r="D215" s="156" t="s">
        <v>2554</v>
      </c>
      <c r="E215" s="42" t="s">
        <v>2569</v>
      </c>
      <c r="F215" s="38"/>
      <c r="G215" s="121" t="s">
        <v>2505</v>
      </c>
      <c r="H215" s="104" t="s">
        <v>2558</v>
      </c>
      <c r="I215" s="161">
        <v>5738.04</v>
      </c>
      <c r="J215" s="159" t="s">
        <v>1290</v>
      </c>
    </row>
    <row r="216" spans="1:10" s="6" customFormat="1" ht="38.25" x14ac:dyDescent="0.2">
      <c r="A216" s="219"/>
      <c r="B216" s="42">
        <v>45</v>
      </c>
      <c r="C216" s="152" t="s">
        <v>1728</v>
      </c>
      <c r="D216" s="156" t="s">
        <v>2554</v>
      </c>
      <c r="E216" s="42" t="s">
        <v>2570</v>
      </c>
      <c r="F216" s="38"/>
      <c r="G216" s="121" t="s">
        <v>2394</v>
      </c>
      <c r="H216" s="104" t="s">
        <v>2571</v>
      </c>
      <c r="I216" s="161">
        <v>1186.92</v>
      </c>
      <c r="J216" s="159" t="s">
        <v>1290</v>
      </c>
    </row>
    <row r="217" spans="1:10" s="6" customFormat="1" ht="38.25" x14ac:dyDescent="0.2">
      <c r="A217" s="219"/>
      <c r="B217" s="42">
        <v>46</v>
      </c>
      <c r="C217" s="158" t="s">
        <v>41</v>
      </c>
      <c r="D217" s="156" t="s">
        <v>2560</v>
      </c>
      <c r="E217" s="42">
        <v>47</v>
      </c>
      <c r="F217" s="38"/>
      <c r="G217" s="121" t="s">
        <v>2661</v>
      </c>
      <c r="H217" s="104" t="s">
        <v>2669</v>
      </c>
      <c r="I217" s="161">
        <v>5527559.8600000003</v>
      </c>
      <c r="J217" s="159" t="s">
        <v>1290</v>
      </c>
    </row>
    <row r="218" spans="1:10" s="6" customFormat="1" ht="38.25" x14ac:dyDescent="0.2">
      <c r="A218" s="219"/>
      <c r="B218" s="42">
        <v>47</v>
      </c>
      <c r="C218" s="152" t="s">
        <v>1728</v>
      </c>
      <c r="D218" s="156" t="s">
        <v>2788</v>
      </c>
      <c r="E218" s="42" t="s">
        <v>2168</v>
      </c>
      <c r="F218" s="38"/>
      <c r="G218" s="121" t="s">
        <v>2584</v>
      </c>
      <c r="H218" s="104" t="s">
        <v>2842</v>
      </c>
      <c r="I218" s="161">
        <v>774.35</v>
      </c>
      <c r="J218" s="159" t="s">
        <v>1290</v>
      </c>
    </row>
    <row r="219" spans="1:10" s="6" customFormat="1" ht="38.25" x14ac:dyDescent="0.2">
      <c r="A219" s="219"/>
      <c r="B219" s="42">
        <v>48</v>
      </c>
      <c r="C219" s="155" t="s">
        <v>45</v>
      </c>
      <c r="D219" s="156" t="s">
        <v>2788</v>
      </c>
      <c r="E219" s="42" t="s">
        <v>1785</v>
      </c>
      <c r="F219" s="38"/>
      <c r="G219" s="121" t="s">
        <v>2843</v>
      </c>
      <c r="H219" s="104" t="s">
        <v>2844</v>
      </c>
      <c r="I219" s="161">
        <v>6759.9</v>
      </c>
      <c r="J219" s="159" t="s">
        <v>1290</v>
      </c>
    </row>
    <row r="220" spans="1:10" s="6" customFormat="1" ht="38.25" x14ac:dyDescent="0.2">
      <c r="A220" s="219"/>
      <c r="B220" s="42">
        <v>49</v>
      </c>
      <c r="C220" s="158" t="s">
        <v>41</v>
      </c>
      <c r="D220" s="156" t="s">
        <v>2788</v>
      </c>
      <c r="E220" s="42">
        <v>45</v>
      </c>
      <c r="F220" s="38"/>
      <c r="G220" s="121" t="s">
        <v>2843</v>
      </c>
      <c r="H220" s="104" t="s">
        <v>2845</v>
      </c>
      <c r="I220" s="161">
        <v>535.5</v>
      </c>
      <c r="J220" s="159" t="s">
        <v>1290</v>
      </c>
    </row>
    <row r="221" spans="1:10" s="6" customFormat="1" ht="38.25" x14ac:dyDescent="0.2">
      <c r="A221" s="219"/>
      <c r="B221" s="42">
        <v>50</v>
      </c>
      <c r="C221" s="154" t="s">
        <v>2519</v>
      </c>
      <c r="D221" s="156" t="s">
        <v>2788</v>
      </c>
      <c r="E221" s="42" t="s">
        <v>2315</v>
      </c>
      <c r="F221" s="38"/>
      <c r="G221" s="121" t="s">
        <v>2510</v>
      </c>
      <c r="H221" s="104" t="s">
        <v>2846</v>
      </c>
      <c r="I221" s="161">
        <v>19611.900000000001</v>
      </c>
      <c r="J221" s="159" t="s">
        <v>1290</v>
      </c>
    </row>
    <row r="222" spans="1:10" s="6" customFormat="1" ht="38.25" x14ac:dyDescent="0.2">
      <c r="A222" s="219"/>
      <c r="B222" s="42">
        <v>51</v>
      </c>
      <c r="C222" s="154" t="s">
        <v>307</v>
      </c>
      <c r="D222" s="156" t="s">
        <v>1637</v>
      </c>
      <c r="E222" s="42">
        <v>67</v>
      </c>
      <c r="F222" s="38"/>
      <c r="G222" s="121" t="s">
        <v>2517</v>
      </c>
      <c r="H222" s="104" t="s">
        <v>3170</v>
      </c>
      <c r="I222" s="159">
        <v>58.8</v>
      </c>
      <c r="J222" s="159" t="s">
        <v>1290</v>
      </c>
    </row>
    <row r="223" spans="1:10" s="6" customFormat="1" ht="38.25" x14ac:dyDescent="0.2">
      <c r="A223" s="219"/>
      <c r="B223" s="42">
        <v>52</v>
      </c>
      <c r="C223" s="154" t="s">
        <v>2519</v>
      </c>
      <c r="D223" s="156" t="s">
        <v>1637</v>
      </c>
      <c r="E223" s="42" t="s">
        <v>2227</v>
      </c>
      <c r="F223" s="38"/>
      <c r="G223" s="121" t="s">
        <v>2521</v>
      </c>
      <c r="H223" s="104" t="s">
        <v>3171</v>
      </c>
      <c r="I223" s="159">
        <v>8580.81</v>
      </c>
      <c r="J223" s="159" t="s">
        <v>1290</v>
      </c>
    </row>
    <row r="224" spans="1:10" s="6" customFormat="1" ht="38.25" x14ac:dyDescent="0.2">
      <c r="A224" s="219"/>
      <c r="B224" s="42">
        <v>53</v>
      </c>
      <c r="C224" s="152" t="s">
        <v>1728</v>
      </c>
      <c r="D224" s="156" t="s">
        <v>1637</v>
      </c>
      <c r="E224" s="42" t="s">
        <v>2168</v>
      </c>
      <c r="F224" s="38"/>
      <c r="G224" s="121" t="s">
        <v>2616</v>
      </c>
      <c r="H224" s="104" t="s">
        <v>3172</v>
      </c>
      <c r="I224" s="159">
        <v>1104.5999999999999</v>
      </c>
      <c r="J224" s="159" t="s">
        <v>1290</v>
      </c>
    </row>
    <row r="225" spans="1:10" s="6" customFormat="1" ht="38.25" x14ac:dyDescent="0.2">
      <c r="A225" s="219"/>
      <c r="B225" s="42">
        <v>54</v>
      </c>
      <c r="C225" s="155" t="s">
        <v>45</v>
      </c>
      <c r="D225" s="156" t="s">
        <v>1637</v>
      </c>
      <c r="E225" s="42" t="s">
        <v>2569</v>
      </c>
      <c r="F225" s="38"/>
      <c r="G225" s="121" t="s">
        <v>2616</v>
      </c>
      <c r="H225" s="104" t="s">
        <v>3173</v>
      </c>
      <c r="I225" s="159">
        <v>4241.37</v>
      </c>
      <c r="J225" s="159" t="s">
        <v>1290</v>
      </c>
    </row>
    <row r="226" spans="1:10" s="6" customFormat="1" ht="38.25" x14ac:dyDescent="0.2">
      <c r="A226" s="219"/>
      <c r="B226" s="42">
        <v>55</v>
      </c>
      <c r="C226" s="158" t="s">
        <v>41</v>
      </c>
      <c r="D226" s="156" t="s">
        <v>1637</v>
      </c>
      <c r="E226" s="42" t="s">
        <v>2006</v>
      </c>
      <c r="F226" s="38"/>
      <c r="G226" s="121" t="s">
        <v>2616</v>
      </c>
      <c r="H226" s="104" t="s">
        <v>3174</v>
      </c>
      <c r="I226" s="159">
        <v>562428.30000000005</v>
      </c>
      <c r="J226" s="159" t="s">
        <v>1290</v>
      </c>
    </row>
    <row r="227" spans="1:10" s="6" customFormat="1" ht="38.25" x14ac:dyDescent="0.2">
      <c r="A227" s="219"/>
      <c r="B227" s="42">
        <v>56</v>
      </c>
      <c r="C227" s="155" t="s">
        <v>45</v>
      </c>
      <c r="D227" s="156" t="s">
        <v>1749</v>
      </c>
      <c r="E227" s="42" t="s">
        <v>2170</v>
      </c>
      <c r="F227" s="38"/>
      <c r="G227" s="121" t="s">
        <v>2567</v>
      </c>
      <c r="H227" s="104" t="s">
        <v>3275</v>
      </c>
      <c r="I227" s="159">
        <f>245.7+264.6+45.36+1459.71+80.26+278.67+326.26+214.62+79.7+2081.52+471.24+556.92</f>
        <v>6104.5599999999995</v>
      </c>
      <c r="J227" s="159" t="s">
        <v>1290</v>
      </c>
    </row>
    <row r="228" spans="1:10" s="6" customFormat="1" ht="38.25" x14ac:dyDescent="0.2">
      <c r="A228" s="219"/>
      <c r="B228" s="42">
        <v>57</v>
      </c>
      <c r="C228" s="158" t="s">
        <v>41</v>
      </c>
      <c r="D228" s="156" t="s">
        <v>1749</v>
      </c>
      <c r="E228" s="42" t="s">
        <v>2006</v>
      </c>
      <c r="F228" s="38"/>
      <c r="G228" s="121" t="s">
        <v>2567</v>
      </c>
      <c r="H228" s="104" t="s">
        <v>3276</v>
      </c>
      <c r="I228" s="159">
        <f>2251.62+70745.22+342783</f>
        <v>415779.83999999997</v>
      </c>
      <c r="J228" s="159" t="s">
        <v>1290</v>
      </c>
    </row>
    <row r="229" spans="1:10" s="6" customFormat="1" ht="38.25" x14ac:dyDescent="0.2">
      <c r="A229" s="219"/>
      <c r="B229" s="42">
        <v>58</v>
      </c>
      <c r="C229" s="154" t="s">
        <v>2519</v>
      </c>
      <c r="D229" s="156" t="s">
        <v>1749</v>
      </c>
      <c r="E229" s="42" t="s">
        <v>2227</v>
      </c>
      <c r="F229" s="38"/>
      <c r="G229" s="121" t="s">
        <v>2567</v>
      </c>
      <c r="H229" s="104" t="s">
        <v>3277</v>
      </c>
      <c r="I229" s="159">
        <f>12346.43+1336.23+342.93+6985.44+7232.4+1782.9+467.78+604.8+582.12+1437.98+1729.67</f>
        <v>34848.68</v>
      </c>
      <c r="J229" s="159" t="s">
        <v>1290</v>
      </c>
    </row>
    <row r="230" spans="1:10" s="6" customFormat="1" ht="38.25" x14ac:dyDescent="0.2">
      <c r="A230" s="219"/>
      <c r="B230" s="42">
        <v>59</v>
      </c>
      <c r="C230" s="152" t="s">
        <v>1728</v>
      </c>
      <c r="D230" s="156" t="s">
        <v>1749</v>
      </c>
      <c r="E230" s="42" t="s">
        <v>2168</v>
      </c>
      <c r="F230" s="38"/>
      <c r="G230" s="121" t="s">
        <v>2567</v>
      </c>
      <c r="H230" s="104" t="s">
        <v>3278</v>
      </c>
      <c r="I230" s="159">
        <f>602.18+2453.85+185.85+27.41+397.32</f>
        <v>3666.6099999999997</v>
      </c>
      <c r="J230" s="159" t="s">
        <v>1290</v>
      </c>
    </row>
    <row r="231" spans="1:10" s="6" customFormat="1" ht="38.25" x14ac:dyDescent="0.2">
      <c r="A231" s="219"/>
      <c r="B231" s="42">
        <v>60</v>
      </c>
      <c r="C231" s="152" t="s">
        <v>307</v>
      </c>
      <c r="D231" s="156" t="s">
        <v>1625</v>
      </c>
      <c r="E231" s="42">
        <v>67</v>
      </c>
      <c r="F231" s="38"/>
      <c r="G231" s="121" t="s">
        <v>3327</v>
      </c>
      <c r="H231" s="104" t="s">
        <v>3461</v>
      </c>
      <c r="I231" s="159">
        <v>88.2</v>
      </c>
      <c r="J231" s="159" t="s">
        <v>1290</v>
      </c>
    </row>
    <row r="232" spans="1:10" s="6" customFormat="1" ht="51" x14ac:dyDescent="0.2">
      <c r="A232" s="219"/>
      <c r="B232" s="42">
        <v>61</v>
      </c>
      <c r="C232" s="158" t="s">
        <v>41</v>
      </c>
      <c r="D232" s="156" t="s">
        <v>1625</v>
      </c>
      <c r="E232" s="42" t="s">
        <v>2006</v>
      </c>
      <c r="F232" s="38"/>
      <c r="G232" s="121" t="s">
        <v>3327</v>
      </c>
      <c r="H232" s="104" t="s">
        <v>3462</v>
      </c>
      <c r="I232" s="159">
        <f>7560+336882+685566</f>
        <v>1030008</v>
      </c>
      <c r="J232" s="159" t="s">
        <v>1290</v>
      </c>
    </row>
    <row r="233" spans="1:10" s="6" customFormat="1" ht="51" x14ac:dyDescent="0.2">
      <c r="A233" s="219"/>
      <c r="B233" s="42">
        <v>62</v>
      </c>
      <c r="C233" s="152" t="s">
        <v>1728</v>
      </c>
      <c r="D233" s="156" t="s">
        <v>1625</v>
      </c>
      <c r="E233" s="42" t="s">
        <v>2426</v>
      </c>
      <c r="F233" s="38"/>
      <c r="G233" s="121" t="s">
        <v>2889</v>
      </c>
      <c r="H233" s="104" t="s">
        <v>3463</v>
      </c>
      <c r="I233" s="159">
        <f>1554+1436.4+309.75+100.49</f>
        <v>3400.64</v>
      </c>
      <c r="J233" s="159" t="s">
        <v>1290</v>
      </c>
    </row>
    <row r="234" spans="1:10" s="6" customFormat="1" ht="63.75" x14ac:dyDescent="0.2">
      <c r="A234" s="219"/>
      <c r="B234" s="42">
        <v>63</v>
      </c>
      <c r="C234" s="154" t="s">
        <v>2519</v>
      </c>
      <c r="D234" s="156" t="s">
        <v>1625</v>
      </c>
      <c r="E234" s="42" t="s">
        <v>3464</v>
      </c>
      <c r="F234" s="38"/>
      <c r="G234" s="121" t="s">
        <v>2879</v>
      </c>
      <c r="H234" s="104" t="s">
        <v>3465</v>
      </c>
      <c r="I234" s="159">
        <f>3307.5+1653.75+772.8+3496.5</f>
        <v>9230.5499999999993</v>
      </c>
      <c r="J234" s="159" t="s">
        <v>1290</v>
      </c>
    </row>
    <row r="235" spans="1:10" s="6" customFormat="1" ht="38.25" x14ac:dyDescent="0.2">
      <c r="A235" s="219"/>
      <c r="B235" s="42">
        <v>64</v>
      </c>
      <c r="C235" s="155" t="s">
        <v>45</v>
      </c>
      <c r="D235" s="156" t="s">
        <v>1625</v>
      </c>
      <c r="E235" s="42" t="s">
        <v>1785</v>
      </c>
      <c r="F235" s="38"/>
      <c r="G235" s="121" t="s">
        <v>2636</v>
      </c>
      <c r="H235" s="104" t="s">
        <v>3534</v>
      </c>
      <c r="I235" s="159">
        <f>409.5+808.5+6284.25+418.95+2992.5+1344+1367.1+144.9+1171.8+1098.41+1365</f>
        <v>17404.91</v>
      </c>
      <c r="J235" s="159" t="s">
        <v>1290</v>
      </c>
    </row>
    <row r="236" spans="1:10" s="6" customFormat="1" ht="38.25" x14ac:dyDescent="0.2">
      <c r="A236" s="219"/>
      <c r="B236" s="42">
        <v>65</v>
      </c>
      <c r="C236" s="154" t="s">
        <v>2519</v>
      </c>
      <c r="D236" s="156" t="s">
        <v>3502</v>
      </c>
      <c r="E236" s="42" t="s">
        <v>3535</v>
      </c>
      <c r="F236" s="38"/>
      <c r="G236" s="121" t="s">
        <v>2283</v>
      </c>
      <c r="H236" s="104" t="s">
        <v>3536</v>
      </c>
      <c r="I236" s="159">
        <f>907.2+674.73+275.31+1958.04+3528+34.65+1489.32+224.91</f>
        <v>9092.16</v>
      </c>
      <c r="J236" s="159" t="s">
        <v>1290</v>
      </c>
    </row>
    <row r="237" spans="1:10" s="6" customFormat="1" ht="38.25" x14ac:dyDescent="0.2">
      <c r="A237" s="219"/>
      <c r="B237" s="42">
        <v>66</v>
      </c>
      <c r="C237" s="152" t="s">
        <v>1728</v>
      </c>
      <c r="D237" s="156" t="s">
        <v>3502</v>
      </c>
      <c r="E237" s="42">
        <v>81</v>
      </c>
      <c r="F237" s="38"/>
      <c r="G237" s="121" t="s">
        <v>2283</v>
      </c>
      <c r="H237" s="104" t="s">
        <v>3537</v>
      </c>
      <c r="I237" s="159">
        <v>41.58</v>
      </c>
      <c r="J237" s="159" t="s">
        <v>1290</v>
      </c>
    </row>
    <row r="238" spans="1:10" s="6" customFormat="1" ht="38.25" x14ac:dyDescent="0.2">
      <c r="A238" s="219"/>
      <c r="B238" s="42">
        <v>67</v>
      </c>
      <c r="C238" s="158" t="s">
        <v>41</v>
      </c>
      <c r="D238" s="156" t="s">
        <v>3502</v>
      </c>
      <c r="E238" s="42" t="s">
        <v>2006</v>
      </c>
      <c r="F238" s="38"/>
      <c r="G238" s="121" t="s">
        <v>2283</v>
      </c>
      <c r="H238" s="104" t="s">
        <v>3538</v>
      </c>
      <c r="I238" s="159">
        <f>2205+151596.9+6855.66</f>
        <v>160657.56</v>
      </c>
      <c r="J238" s="159" t="s">
        <v>1290</v>
      </c>
    </row>
    <row r="239" spans="1:10" s="6" customFormat="1" ht="38.25" x14ac:dyDescent="0.2">
      <c r="A239" s="219"/>
      <c r="B239" s="42">
        <v>68</v>
      </c>
      <c r="C239" s="155" t="s">
        <v>45</v>
      </c>
      <c r="D239" s="156" t="s">
        <v>3502</v>
      </c>
      <c r="E239" s="42" t="s">
        <v>3539</v>
      </c>
      <c r="F239" s="38"/>
      <c r="G239" s="121" t="s">
        <v>2283</v>
      </c>
      <c r="H239" s="104" t="s">
        <v>3540</v>
      </c>
      <c r="I239" s="159">
        <f>81.9+29.4+55.86+151.2+45.28+504+485.1+16.38</f>
        <v>1369.1200000000001</v>
      </c>
      <c r="J239" s="159" t="s">
        <v>1290</v>
      </c>
    </row>
    <row r="240" spans="1:10" s="6" customFormat="1" ht="38.25" x14ac:dyDescent="0.2">
      <c r="A240" s="219"/>
      <c r="B240" s="42">
        <v>69</v>
      </c>
      <c r="C240" s="155" t="s">
        <v>45</v>
      </c>
      <c r="D240" s="156" t="s">
        <v>2142</v>
      </c>
      <c r="E240" s="42" t="s">
        <v>1785</v>
      </c>
      <c r="F240" s="38"/>
      <c r="G240" s="121" t="s">
        <v>1770</v>
      </c>
      <c r="H240" s="104" t="s">
        <v>3541</v>
      </c>
      <c r="I240" s="159">
        <v>1922.89</v>
      </c>
      <c r="J240" s="159" t="s">
        <v>1290</v>
      </c>
    </row>
    <row r="241" spans="1:10" s="6" customFormat="1" ht="38.25" x14ac:dyDescent="0.2">
      <c r="A241" s="219"/>
      <c r="B241" s="42">
        <v>70</v>
      </c>
      <c r="C241" s="158" t="s">
        <v>41</v>
      </c>
      <c r="D241" s="156" t="s">
        <v>2142</v>
      </c>
      <c r="E241" s="42" t="s">
        <v>2006</v>
      </c>
      <c r="F241" s="38"/>
      <c r="G241" s="121" t="s">
        <v>1770</v>
      </c>
      <c r="H241" s="104" t="s">
        <v>3542</v>
      </c>
      <c r="I241" s="159">
        <v>59151.96</v>
      </c>
      <c r="J241" s="159" t="s">
        <v>1290</v>
      </c>
    </row>
    <row r="242" spans="1:10" s="6" customFormat="1" ht="38.25" x14ac:dyDescent="0.2">
      <c r="A242" s="219"/>
      <c r="B242" s="42">
        <v>71</v>
      </c>
      <c r="C242" s="152" t="s">
        <v>1728</v>
      </c>
      <c r="D242" s="156" t="s">
        <v>2142</v>
      </c>
      <c r="E242" s="42" t="s">
        <v>2169</v>
      </c>
      <c r="F242" s="38"/>
      <c r="G242" s="121" t="s">
        <v>1770</v>
      </c>
      <c r="H242" s="104" t="s">
        <v>3543</v>
      </c>
      <c r="I242" s="159">
        <v>388.54</v>
      </c>
      <c r="J242" s="159" t="s">
        <v>1290</v>
      </c>
    </row>
    <row r="243" spans="1:10" s="6" customFormat="1" ht="38.25" x14ac:dyDescent="0.2">
      <c r="A243" s="219"/>
      <c r="B243" s="42">
        <v>72</v>
      </c>
      <c r="C243" s="154" t="s">
        <v>2519</v>
      </c>
      <c r="D243" s="156" t="s">
        <v>2142</v>
      </c>
      <c r="E243" s="42" t="s">
        <v>2171</v>
      </c>
      <c r="F243" s="38"/>
      <c r="G243" s="121" t="s">
        <v>1770</v>
      </c>
      <c r="H243" s="104" t="s">
        <v>3544</v>
      </c>
      <c r="I243" s="159">
        <v>5206.95</v>
      </c>
      <c r="J243" s="159" t="s">
        <v>1290</v>
      </c>
    </row>
    <row r="244" spans="1:10" s="6" customFormat="1" ht="38.25" x14ac:dyDescent="0.2">
      <c r="A244" s="219"/>
      <c r="B244" s="42">
        <v>73</v>
      </c>
      <c r="C244" s="154" t="s">
        <v>2519</v>
      </c>
      <c r="D244" s="156" t="s">
        <v>1644</v>
      </c>
      <c r="E244" s="42" t="s">
        <v>2279</v>
      </c>
      <c r="F244" s="38"/>
      <c r="G244" s="121" t="s">
        <v>2551</v>
      </c>
      <c r="H244" s="104" t="s">
        <v>3950</v>
      </c>
      <c r="I244" s="159">
        <v>15171.24</v>
      </c>
      <c r="J244" s="159" t="s">
        <v>1290</v>
      </c>
    </row>
    <row r="245" spans="1:10" s="6" customFormat="1" ht="38.25" x14ac:dyDescent="0.2">
      <c r="A245" s="219"/>
      <c r="B245" s="42">
        <v>74</v>
      </c>
      <c r="C245" s="158" t="s">
        <v>41</v>
      </c>
      <c r="D245" s="156" t="s">
        <v>1644</v>
      </c>
      <c r="E245" s="42" t="s">
        <v>2006</v>
      </c>
      <c r="F245" s="38"/>
      <c r="G245" s="121" t="s">
        <v>2636</v>
      </c>
      <c r="H245" s="104" t="s">
        <v>3951</v>
      </c>
      <c r="I245" s="159">
        <v>1431666.6</v>
      </c>
      <c r="J245" s="159" t="s">
        <v>1290</v>
      </c>
    </row>
    <row r="246" spans="1:10" s="6" customFormat="1" ht="38.25" x14ac:dyDescent="0.2">
      <c r="A246" s="219"/>
      <c r="B246" s="42">
        <v>75</v>
      </c>
      <c r="C246" s="152" t="s">
        <v>1728</v>
      </c>
      <c r="D246" s="156" t="s">
        <v>1644</v>
      </c>
      <c r="E246" s="42" t="s">
        <v>2168</v>
      </c>
      <c r="F246" s="38"/>
      <c r="G246" s="121" t="s">
        <v>2283</v>
      </c>
      <c r="H246" s="104" t="s">
        <v>3537</v>
      </c>
      <c r="I246" s="159">
        <v>2018.73</v>
      </c>
      <c r="J246" s="159" t="s">
        <v>1290</v>
      </c>
    </row>
    <row r="247" spans="1:10" s="6" customFormat="1" ht="38.25" x14ac:dyDescent="0.2">
      <c r="A247" s="219"/>
      <c r="B247" s="42">
        <v>76</v>
      </c>
      <c r="C247" s="155" t="s">
        <v>45</v>
      </c>
      <c r="D247" s="156" t="s">
        <v>1644</v>
      </c>
      <c r="E247" s="42" t="s">
        <v>2170</v>
      </c>
      <c r="F247" s="38"/>
      <c r="G247" s="121" t="s">
        <v>2551</v>
      </c>
      <c r="H247" s="104" t="s">
        <v>3952</v>
      </c>
      <c r="I247" s="159">
        <v>5249.16</v>
      </c>
      <c r="J247" s="159" t="s">
        <v>1290</v>
      </c>
    </row>
    <row r="248" spans="1:10" s="6" customFormat="1" ht="38.25" x14ac:dyDescent="0.2">
      <c r="A248" s="219"/>
      <c r="B248" s="42">
        <v>77</v>
      </c>
      <c r="C248" s="152" t="s">
        <v>307</v>
      </c>
      <c r="D248" s="156" t="s">
        <v>1644</v>
      </c>
      <c r="E248" s="42">
        <v>67</v>
      </c>
      <c r="F248" s="38"/>
      <c r="G248" s="121" t="s">
        <v>2578</v>
      </c>
      <c r="H248" s="104" t="s">
        <v>3953</v>
      </c>
      <c r="I248" s="159">
        <v>26.46</v>
      </c>
      <c r="J248" s="159" t="s">
        <v>1290</v>
      </c>
    </row>
    <row r="249" spans="1:10" s="6" customFormat="1" ht="38.25" x14ac:dyDescent="0.2">
      <c r="A249" s="219"/>
      <c r="B249" s="42">
        <v>78</v>
      </c>
      <c r="C249" s="154" t="s">
        <v>2519</v>
      </c>
      <c r="D249" s="156" t="s">
        <v>3334</v>
      </c>
      <c r="E249" s="42" t="s">
        <v>3967</v>
      </c>
      <c r="F249" s="38"/>
      <c r="G249" s="121" t="s">
        <v>3968</v>
      </c>
      <c r="H249" s="104" t="s">
        <v>3969</v>
      </c>
      <c r="I249" s="159">
        <f>(277.2+23+453.6+93.6+1400+165+684+154)*1.05</f>
        <v>3412.92</v>
      </c>
      <c r="J249" s="159" t="s">
        <v>1290</v>
      </c>
    </row>
    <row r="250" spans="1:10" s="6" customFormat="1" ht="38.25" x14ac:dyDescent="0.2">
      <c r="A250" s="219"/>
      <c r="B250" s="42">
        <v>79</v>
      </c>
      <c r="C250" s="155" t="s">
        <v>45</v>
      </c>
      <c r="D250" s="156" t="s">
        <v>4033</v>
      </c>
      <c r="E250" s="42" t="s">
        <v>2170</v>
      </c>
      <c r="F250" s="38"/>
      <c r="G250" s="121" t="s">
        <v>3477</v>
      </c>
      <c r="H250" s="104" t="s">
        <v>4037</v>
      </c>
      <c r="I250" s="159">
        <f>1671.5*1.05</f>
        <v>1755.075</v>
      </c>
      <c r="J250" s="159" t="s">
        <v>1290</v>
      </c>
    </row>
    <row r="251" spans="1:10" s="6" customFormat="1" ht="38.25" x14ac:dyDescent="0.2">
      <c r="A251" s="220"/>
      <c r="B251" s="42">
        <v>80</v>
      </c>
      <c r="C251" s="152" t="s">
        <v>1728</v>
      </c>
      <c r="D251" s="156" t="s">
        <v>4033</v>
      </c>
      <c r="E251" s="42" t="s">
        <v>2168</v>
      </c>
      <c r="F251" s="38"/>
      <c r="G251" s="121" t="s">
        <v>3477</v>
      </c>
      <c r="H251" s="104" t="s">
        <v>4038</v>
      </c>
      <c r="I251" s="159">
        <f>212*1.05</f>
        <v>222.60000000000002</v>
      </c>
      <c r="J251" s="159" t="s">
        <v>1290</v>
      </c>
    </row>
    <row r="252" spans="1:10" ht="38.25" x14ac:dyDescent="0.2">
      <c r="A252" s="217" t="s">
        <v>1928</v>
      </c>
      <c r="B252" s="25">
        <v>1</v>
      </c>
      <c r="C252" s="82" t="s">
        <v>1929</v>
      </c>
      <c r="D252" s="166" t="s">
        <v>1625</v>
      </c>
      <c r="E252" s="101">
        <v>2</v>
      </c>
      <c r="F252" s="25"/>
      <c r="G252" s="25" t="s">
        <v>1930</v>
      </c>
      <c r="H252" s="55" t="s">
        <v>1931</v>
      </c>
      <c r="I252" s="18">
        <v>14258974.5</v>
      </c>
      <c r="J252" s="24"/>
    </row>
    <row r="253" spans="1:10" ht="38.25" x14ac:dyDescent="0.2">
      <c r="A253" s="217"/>
      <c r="B253" s="25">
        <v>2</v>
      </c>
      <c r="C253" s="82" t="s">
        <v>1728</v>
      </c>
      <c r="D253" s="166" t="s">
        <v>1625</v>
      </c>
      <c r="E253" s="101" t="s">
        <v>2000</v>
      </c>
      <c r="F253" s="25"/>
      <c r="G253" s="25" t="s">
        <v>2002</v>
      </c>
      <c r="H253" s="55" t="s">
        <v>2003</v>
      </c>
      <c r="I253" s="18">
        <f>15772239+686850</f>
        <v>16459089</v>
      </c>
      <c r="J253" s="24"/>
    </row>
    <row r="254" spans="1:10" ht="38.25" x14ac:dyDescent="0.2">
      <c r="A254" s="217"/>
      <c r="B254" s="25">
        <v>3</v>
      </c>
      <c r="C254" s="82" t="s">
        <v>1998</v>
      </c>
      <c r="D254" s="166" t="s">
        <v>1625</v>
      </c>
      <c r="E254" s="101" t="s">
        <v>2001</v>
      </c>
      <c r="F254" s="25"/>
      <c r="G254" s="25" t="s">
        <v>2002</v>
      </c>
      <c r="H254" s="55" t="s">
        <v>2003</v>
      </c>
      <c r="I254" s="18">
        <f>5248425+5554500+5095500</f>
        <v>15898425</v>
      </c>
      <c r="J254" s="24"/>
    </row>
    <row r="255" spans="1:10" ht="38.25" x14ac:dyDescent="0.2">
      <c r="A255" s="217"/>
      <c r="B255" s="25">
        <v>4</v>
      </c>
      <c r="C255" s="82" t="s">
        <v>1999</v>
      </c>
      <c r="D255" s="166" t="s">
        <v>1625</v>
      </c>
      <c r="E255" s="101">
        <v>6</v>
      </c>
      <c r="F255" s="25"/>
      <c r="G255" s="25" t="s">
        <v>1930</v>
      </c>
      <c r="H255" s="55" t="s">
        <v>1931</v>
      </c>
      <c r="I255" s="18">
        <v>2644878</v>
      </c>
      <c r="J255" s="24"/>
    </row>
    <row r="256" spans="1:10" s="6" customFormat="1" ht="38.25" customHeight="1" x14ac:dyDescent="0.2">
      <c r="A256" s="221" t="s">
        <v>2173</v>
      </c>
      <c r="B256" s="40">
        <v>1</v>
      </c>
      <c r="C256" s="152" t="s">
        <v>1273</v>
      </c>
      <c r="D256" s="156" t="s">
        <v>1644</v>
      </c>
      <c r="E256" s="104" t="s">
        <v>2289</v>
      </c>
      <c r="F256" s="40"/>
      <c r="G256" s="40" t="s">
        <v>2174</v>
      </c>
      <c r="H256" s="104" t="s">
        <v>2290</v>
      </c>
      <c r="I256" s="114">
        <v>17004465.449999999</v>
      </c>
      <c r="J256" s="40" t="s">
        <v>1347</v>
      </c>
    </row>
    <row r="257" spans="1:10" s="6" customFormat="1" ht="38.25" x14ac:dyDescent="0.2">
      <c r="A257" s="222"/>
      <c r="B257" s="40">
        <v>2</v>
      </c>
      <c r="C257" s="152" t="s">
        <v>1728</v>
      </c>
      <c r="D257" s="156" t="s">
        <v>1644</v>
      </c>
      <c r="E257" s="104" t="s">
        <v>2291</v>
      </c>
      <c r="F257" s="40"/>
      <c r="G257" s="40" t="s">
        <v>2174</v>
      </c>
      <c r="H257" s="104" t="s">
        <v>2292</v>
      </c>
      <c r="I257" s="114">
        <f>27761337.16+10308715.81</f>
        <v>38070052.969999999</v>
      </c>
      <c r="J257" s="40" t="s">
        <v>1347</v>
      </c>
    </row>
    <row r="258" spans="1:10" s="6" customFormat="1" ht="38.25" x14ac:dyDescent="0.2">
      <c r="A258" s="222"/>
      <c r="B258" s="40">
        <v>3</v>
      </c>
      <c r="C258" s="152" t="s">
        <v>53</v>
      </c>
      <c r="D258" s="156" t="s">
        <v>1644</v>
      </c>
      <c r="E258" s="104" t="s">
        <v>2288</v>
      </c>
      <c r="F258" s="40"/>
      <c r="G258" s="40" t="s">
        <v>2174</v>
      </c>
      <c r="H258" s="104" t="s">
        <v>2286</v>
      </c>
      <c r="I258" s="114">
        <v>21749614.75</v>
      </c>
      <c r="J258" s="40" t="s">
        <v>1347</v>
      </c>
    </row>
    <row r="259" spans="1:10" s="6" customFormat="1" ht="38.25" x14ac:dyDescent="0.2">
      <c r="A259" s="222"/>
      <c r="B259" s="40">
        <v>4</v>
      </c>
      <c r="C259" s="152" t="s">
        <v>761</v>
      </c>
      <c r="D259" s="156" t="s">
        <v>1644</v>
      </c>
      <c r="E259" s="104" t="s">
        <v>2285</v>
      </c>
      <c r="F259" s="40"/>
      <c r="G259" s="40" t="s">
        <v>2174</v>
      </c>
      <c r="H259" s="104" t="s">
        <v>2287</v>
      </c>
      <c r="I259" s="114">
        <v>18733228.5</v>
      </c>
      <c r="J259" s="40" t="s">
        <v>1347</v>
      </c>
    </row>
    <row r="260" spans="1:10" s="6" customFormat="1" ht="38.25" x14ac:dyDescent="0.2">
      <c r="A260" s="222"/>
      <c r="B260" s="40">
        <v>5</v>
      </c>
      <c r="C260" s="152" t="s">
        <v>83</v>
      </c>
      <c r="D260" s="156" t="s">
        <v>1644</v>
      </c>
      <c r="E260" s="104" t="s">
        <v>2293</v>
      </c>
      <c r="F260" s="40"/>
      <c r="G260" s="40" t="s">
        <v>2174</v>
      </c>
      <c r="H260" s="104" t="s">
        <v>2294</v>
      </c>
      <c r="I260" s="114">
        <f>26425536.35+18109129.5+2975616</f>
        <v>47510281.850000001</v>
      </c>
      <c r="J260" s="40" t="s">
        <v>1347</v>
      </c>
    </row>
    <row r="261" spans="1:10" s="6" customFormat="1" ht="38.25" x14ac:dyDescent="0.2">
      <c r="A261" s="222"/>
      <c r="B261" s="40">
        <v>6</v>
      </c>
      <c r="C261" s="152" t="s">
        <v>91</v>
      </c>
      <c r="D261" s="156" t="s">
        <v>1644</v>
      </c>
      <c r="E261" s="104" t="s">
        <v>2295</v>
      </c>
      <c r="F261" s="40"/>
      <c r="G261" s="40" t="s">
        <v>2174</v>
      </c>
      <c r="H261" s="104" t="s">
        <v>2296</v>
      </c>
      <c r="I261" s="114">
        <f>11018743.5</f>
        <v>11018743.5</v>
      </c>
      <c r="J261" s="40" t="s">
        <v>1347</v>
      </c>
    </row>
    <row r="262" spans="1:10" s="6" customFormat="1" ht="38.25" x14ac:dyDescent="0.2">
      <c r="A262" s="222"/>
      <c r="B262" s="40">
        <v>7</v>
      </c>
      <c r="C262" s="152" t="s">
        <v>947</v>
      </c>
      <c r="D262" s="156" t="s">
        <v>1644</v>
      </c>
      <c r="E262" s="104" t="s">
        <v>2297</v>
      </c>
      <c r="F262" s="40"/>
      <c r="G262" s="40" t="s">
        <v>2174</v>
      </c>
      <c r="H262" s="104" t="s">
        <v>2298</v>
      </c>
      <c r="I262" s="114">
        <v>15397626.25</v>
      </c>
      <c r="J262" s="40" t="s">
        <v>1347</v>
      </c>
    </row>
    <row r="263" spans="1:10" s="6" customFormat="1" ht="38.25" x14ac:dyDescent="0.2">
      <c r="A263" s="222"/>
      <c r="B263" s="40">
        <v>8</v>
      </c>
      <c r="C263" s="152" t="s">
        <v>885</v>
      </c>
      <c r="D263" s="156" t="s">
        <v>1644</v>
      </c>
      <c r="E263" s="104" t="s">
        <v>2299</v>
      </c>
      <c r="F263" s="40"/>
      <c r="G263" s="40" t="s">
        <v>2174</v>
      </c>
      <c r="H263" s="104" t="s">
        <v>2300</v>
      </c>
      <c r="I263" s="114">
        <v>51835468.5</v>
      </c>
      <c r="J263" s="40" t="s">
        <v>1347</v>
      </c>
    </row>
    <row r="264" spans="1:10" s="6" customFormat="1" ht="38.25" x14ac:dyDescent="0.2">
      <c r="A264" s="222"/>
      <c r="B264" s="40">
        <v>9</v>
      </c>
      <c r="C264" s="152" t="s">
        <v>904</v>
      </c>
      <c r="D264" s="156" t="s">
        <v>1644</v>
      </c>
      <c r="E264" s="104" t="s">
        <v>2301</v>
      </c>
      <c r="F264" s="40"/>
      <c r="G264" s="40" t="s">
        <v>2174</v>
      </c>
      <c r="H264" s="104" t="s">
        <v>2302</v>
      </c>
      <c r="I264" s="114">
        <v>2243465</v>
      </c>
      <c r="J264" s="40" t="s">
        <v>1347</v>
      </c>
    </row>
    <row r="265" spans="1:10" s="6" customFormat="1" ht="38.25" x14ac:dyDescent="0.2">
      <c r="A265" s="222"/>
      <c r="B265" s="40">
        <v>10</v>
      </c>
      <c r="C265" s="152" t="s">
        <v>1135</v>
      </c>
      <c r="D265" s="156" t="s">
        <v>1644</v>
      </c>
      <c r="E265" s="104" t="s">
        <v>2303</v>
      </c>
      <c r="F265" s="40"/>
      <c r="G265" s="40" t="s">
        <v>2174</v>
      </c>
      <c r="H265" s="104" t="s">
        <v>2304</v>
      </c>
      <c r="I265" s="114">
        <v>21887649</v>
      </c>
      <c r="J265" s="40" t="s">
        <v>1347</v>
      </c>
    </row>
    <row r="266" spans="1:10" s="6" customFormat="1" ht="38.25" x14ac:dyDescent="0.2">
      <c r="A266" s="222"/>
      <c r="B266" s="40">
        <v>11</v>
      </c>
      <c r="C266" s="152" t="s">
        <v>78</v>
      </c>
      <c r="D266" s="156" t="s">
        <v>1644</v>
      </c>
      <c r="E266" s="104" t="s">
        <v>2305</v>
      </c>
      <c r="F266" s="40"/>
      <c r="G266" s="40" t="s">
        <v>2174</v>
      </c>
      <c r="H266" s="104" t="s">
        <v>2306</v>
      </c>
      <c r="I266" s="114">
        <v>46193858.030000001</v>
      </c>
      <c r="J266" s="40" t="s">
        <v>1347</v>
      </c>
    </row>
    <row r="267" spans="1:10" s="6" customFormat="1" ht="38.25" x14ac:dyDescent="0.2">
      <c r="A267" s="222"/>
      <c r="B267" s="40">
        <v>12</v>
      </c>
      <c r="C267" s="152" t="s">
        <v>1280</v>
      </c>
      <c r="D267" s="156" t="s">
        <v>1644</v>
      </c>
      <c r="E267" s="104" t="s">
        <v>2307</v>
      </c>
      <c r="F267" s="40"/>
      <c r="G267" s="40" t="s">
        <v>2174</v>
      </c>
      <c r="H267" s="104" t="s">
        <v>2308</v>
      </c>
      <c r="I267" s="114">
        <v>4868075.4000000004</v>
      </c>
      <c r="J267" s="40" t="s">
        <v>1347</v>
      </c>
    </row>
    <row r="268" spans="1:10" s="6" customFormat="1" ht="38.25" x14ac:dyDescent="0.2">
      <c r="A268" s="222"/>
      <c r="B268" s="40">
        <v>13</v>
      </c>
      <c r="C268" s="152" t="s">
        <v>1311</v>
      </c>
      <c r="D268" s="156" t="s">
        <v>1644</v>
      </c>
      <c r="E268" s="104" t="s">
        <v>2309</v>
      </c>
      <c r="F268" s="40"/>
      <c r="G268" s="40" t="s">
        <v>2174</v>
      </c>
      <c r="H268" s="104" t="s">
        <v>2310</v>
      </c>
      <c r="I268" s="114">
        <v>3988474.35</v>
      </c>
      <c r="J268" s="40" t="s">
        <v>1347</v>
      </c>
    </row>
    <row r="269" spans="1:10" s="6" customFormat="1" ht="38.25" x14ac:dyDescent="0.2">
      <c r="A269" s="223"/>
      <c r="B269" s="40">
        <v>14</v>
      </c>
      <c r="C269" s="152" t="s">
        <v>904</v>
      </c>
      <c r="D269" s="156" t="s">
        <v>1644</v>
      </c>
      <c r="E269" s="104" t="s">
        <v>2953</v>
      </c>
      <c r="F269" s="40"/>
      <c r="G269" s="40" t="s">
        <v>2636</v>
      </c>
      <c r="H269" s="104" t="s">
        <v>2952</v>
      </c>
      <c r="I269" s="114">
        <v>2227872.5</v>
      </c>
      <c r="J269" s="40" t="s">
        <v>1347</v>
      </c>
    </row>
    <row r="270" spans="1:10" s="6" customFormat="1" ht="38.25" x14ac:dyDescent="0.2">
      <c r="A270" s="228" t="s">
        <v>4160</v>
      </c>
      <c r="B270" s="40">
        <v>1</v>
      </c>
      <c r="C270" s="154" t="s">
        <v>1713</v>
      </c>
      <c r="D270" s="156" t="s">
        <v>1641</v>
      </c>
      <c r="E270" s="104" t="s">
        <v>2190</v>
      </c>
      <c r="F270" s="40"/>
      <c r="G270" s="40" t="s">
        <v>2196</v>
      </c>
      <c r="H270" s="104" t="s">
        <v>2206</v>
      </c>
      <c r="I270" s="114">
        <f>(86+33.6+91630+1800+9300+199.64+900+1847+1325+931+252+139.5+45.6+6.9)*1.05</f>
        <v>113921.05200000001</v>
      </c>
      <c r="J270" s="159" t="s">
        <v>1290</v>
      </c>
    </row>
    <row r="271" spans="1:10" s="6" customFormat="1" ht="38.25" x14ac:dyDescent="0.2">
      <c r="A271" s="229"/>
      <c r="B271" s="40">
        <v>2</v>
      </c>
      <c r="C271" s="154" t="s">
        <v>1728</v>
      </c>
      <c r="D271" s="156" t="s">
        <v>2154</v>
      </c>
      <c r="E271" s="104" t="s">
        <v>2191</v>
      </c>
      <c r="F271" s="40"/>
      <c r="G271" s="40" t="s">
        <v>2196</v>
      </c>
      <c r="H271" s="104" t="s">
        <v>2197</v>
      </c>
      <c r="I271" s="114">
        <f>(4069.75+27300.8+137.4)*1.05</f>
        <v>33083.347500000003</v>
      </c>
      <c r="J271" s="159" t="s">
        <v>1290</v>
      </c>
    </row>
    <row r="272" spans="1:10" s="6" customFormat="1" ht="38.25" x14ac:dyDescent="0.2">
      <c r="A272" s="229"/>
      <c r="B272" s="40">
        <v>3</v>
      </c>
      <c r="C272" s="154" t="s">
        <v>45</v>
      </c>
      <c r="D272" s="156" t="s">
        <v>2154</v>
      </c>
      <c r="E272" s="104" t="s">
        <v>2192</v>
      </c>
      <c r="F272" s="40"/>
      <c r="G272" s="40" t="s">
        <v>2196</v>
      </c>
      <c r="H272" s="104" t="s">
        <v>2207</v>
      </c>
      <c r="I272" s="114">
        <f>(2013+2251.5+555+48.6+109.5)*1.05</f>
        <v>5226.4800000000005</v>
      </c>
      <c r="J272" s="159" t="s">
        <v>1290</v>
      </c>
    </row>
    <row r="273" spans="1:10" s="6" customFormat="1" ht="38.25" x14ac:dyDescent="0.2">
      <c r="A273" s="229"/>
      <c r="B273" s="40">
        <v>4</v>
      </c>
      <c r="C273" s="154" t="s">
        <v>41</v>
      </c>
      <c r="D273" s="156" t="s">
        <v>2154</v>
      </c>
      <c r="E273" s="104" t="s">
        <v>2193</v>
      </c>
      <c r="F273" s="40"/>
      <c r="G273" s="40" t="s">
        <v>2196</v>
      </c>
      <c r="H273" s="104" t="s">
        <v>2200</v>
      </c>
      <c r="I273" s="114">
        <f>(16+16+2922.3)*1.05</f>
        <v>3102.0150000000003</v>
      </c>
      <c r="J273" s="159" t="s">
        <v>1290</v>
      </c>
    </row>
    <row r="274" spans="1:10" s="6" customFormat="1" ht="38.25" x14ac:dyDescent="0.2">
      <c r="A274" s="229"/>
      <c r="B274" s="40">
        <v>5</v>
      </c>
      <c r="C274" s="154" t="s">
        <v>307</v>
      </c>
      <c r="D274" s="156" t="s">
        <v>2154</v>
      </c>
      <c r="E274" s="104" t="s">
        <v>2194</v>
      </c>
      <c r="F274" s="40"/>
      <c r="G274" s="40" t="s">
        <v>2196</v>
      </c>
      <c r="H274" s="104" t="s">
        <v>2201</v>
      </c>
      <c r="I274" s="114">
        <f>(466.5+351)*1.05</f>
        <v>858.375</v>
      </c>
      <c r="J274" s="159" t="s">
        <v>1290</v>
      </c>
    </row>
    <row r="275" spans="1:10" s="6" customFormat="1" ht="38.25" x14ac:dyDescent="0.2">
      <c r="A275" s="229"/>
      <c r="B275" s="40">
        <v>6</v>
      </c>
      <c r="C275" s="154" t="s">
        <v>45</v>
      </c>
      <c r="D275" s="156" t="s">
        <v>1692</v>
      </c>
      <c r="E275" s="104" t="s">
        <v>2195</v>
      </c>
      <c r="F275" s="40"/>
      <c r="G275" s="40" t="s">
        <v>2196</v>
      </c>
      <c r="H275" s="104" t="s">
        <v>2207</v>
      </c>
      <c r="I275" s="114">
        <v>1532.16</v>
      </c>
      <c r="J275" s="159" t="s">
        <v>1290</v>
      </c>
    </row>
    <row r="276" spans="1:10" s="6" customFormat="1" ht="38.25" x14ac:dyDescent="0.2">
      <c r="A276" s="229"/>
      <c r="B276" s="40">
        <v>7</v>
      </c>
      <c r="C276" s="154" t="s">
        <v>1728</v>
      </c>
      <c r="D276" s="156" t="s">
        <v>1692</v>
      </c>
      <c r="E276" s="104" t="s">
        <v>2191</v>
      </c>
      <c r="F276" s="40"/>
      <c r="G276" s="40" t="s">
        <v>2196</v>
      </c>
      <c r="H276" s="104" t="s">
        <v>2197</v>
      </c>
      <c r="I276" s="114">
        <v>2209.1999999999998</v>
      </c>
      <c r="J276" s="159" t="s">
        <v>1290</v>
      </c>
    </row>
    <row r="277" spans="1:10" s="6" customFormat="1" ht="38.25" x14ac:dyDescent="0.2">
      <c r="A277" s="229"/>
      <c r="B277" s="40">
        <v>8</v>
      </c>
      <c r="C277" s="154" t="s">
        <v>1713</v>
      </c>
      <c r="D277" s="156" t="s">
        <v>1692</v>
      </c>
      <c r="E277" s="104" t="s">
        <v>2198</v>
      </c>
      <c r="F277" s="40"/>
      <c r="G277" s="40" t="s">
        <v>2196</v>
      </c>
      <c r="H277" s="104" t="s">
        <v>2199</v>
      </c>
      <c r="I277" s="114">
        <v>40121.11</v>
      </c>
      <c r="J277" s="159" t="s">
        <v>1290</v>
      </c>
    </row>
    <row r="278" spans="1:10" ht="38.25" x14ac:dyDescent="0.2">
      <c r="A278" s="229"/>
      <c r="B278" s="25">
        <v>9</v>
      </c>
      <c r="C278" s="83" t="s">
        <v>41</v>
      </c>
      <c r="D278" s="85" t="s">
        <v>1692</v>
      </c>
      <c r="E278" s="101">
        <v>31</v>
      </c>
      <c r="F278" s="25"/>
      <c r="G278" s="25" t="s">
        <v>2196</v>
      </c>
      <c r="H278" s="55" t="s">
        <v>2200</v>
      </c>
      <c r="I278" s="18">
        <v>300.82</v>
      </c>
      <c r="J278" s="84" t="s">
        <v>1290</v>
      </c>
    </row>
    <row r="279" spans="1:10" ht="38.25" x14ac:dyDescent="0.2">
      <c r="A279" s="229"/>
      <c r="B279" s="25">
        <v>10</v>
      </c>
      <c r="C279" s="83" t="s">
        <v>307</v>
      </c>
      <c r="D279" s="85" t="s">
        <v>1692</v>
      </c>
      <c r="E279" s="101" t="s">
        <v>2194</v>
      </c>
      <c r="F279" s="25"/>
      <c r="G279" s="25" t="s">
        <v>2196</v>
      </c>
      <c r="H279" s="55" t="s">
        <v>2201</v>
      </c>
      <c r="I279" s="18">
        <v>855.75</v>
      </c>
      <c r="J279" s="84" t="s">
        <v>1290</v>
      </c>
    </row>
    <row r="280" spans="1:10" ht="38.25" x14ac:dyDescent="0.2">
      <c r="A280" s="229"/>
      <c r="B280" s="25">
        <v>11</v>
      </c>
      <c r="C280" s="83" t="s">
        <v>307</v>
      </c>
      <c r="D280" s="85" t="s">
        <v>1641</v>
      </c>
      <c r="E280" s="101" t="s">
        <v>2194</v>
      </c>
      <c r="F280" s="25"/>
      <c r="G280" s="25" t="s">
        <v>2196</v>
      </c>
      <c r="H280" s="55" t="s">
        <v>2208</v>
      </c>
      <c r="I280" s="18">
        <v>477.75</v>
      </c>
      <c r="J280" s="84" t="s">
        <v>1290</v>
      </c>
    </row>
    <row r="281" spans="1:10" ht="38.25" x14ac:dyDescent="0.2">
      <c r="A281" s="229"/>
      <c r="B281" s="25">
        <v>12</v>
      </c>
      <c r="C281" s="83" t="s">
        <v>1728</v>
      </c>
      <c r="D281" s="85" t="s">
        <v>1641</v>
      </c>
      <c r="E281" s="101" t="s">
        <v>2191</v>
      </c>
      <c r="F281" s="25"/>
      <c r="G281" s="25" t="s">
        <v>2196</v>
      </c>
      <c r="H281" s="55" t="s">
        <v>2209</v>
      </c>
      <c r="I281" s="18">
        <v>45984.75</v>
      </c>
      <c r="J281" s="84" t="s">
        <v>1290</v>
      </c>
    </row>
    <row r="282" spans="1:10" ht="38.25" x14ac:dyDescent="0.2">
      <c r="A282" s="229"/>
      <c r="B282" s="25">
        <v>13</v>
      </c>
      <c r="C282" s="83" t="s">
        <v>45</v>
      </c>
      <c r="D282" s="85" t="s">
        <v>1641</v>
      </c>
      <c r="E282" s="101" t="s">
        <v>2202</v>
      </c>
      <c r="F282" s="25"/>
      <c r="G282" s="25" t="s">
        <v>2196</v>
      </c>
      <c r="H282" s="55" t="s">
        <v>2210</v>
      </c>
      <c r="I282" s="18">
        <v>7674.03</v>
      </c>
      <c r="J282" s="84" t="s">
        <v>1290</v>
      </c>
    </row>
    <row r="283" spans="1:10" ht="38.25" x14ac:dyDescent="0.2">
      <c r="A283" s="229"/>
      <c r="B283" s="25">
        <v>14</v>
      </c>
      <c r="C283" s="83" t="s">
        <v>41</v>
      </c>
      <c r="D283" s="85" t="s">
        <v>1641</v>
      </c>
      <c r="E283" s="101">
        <v>31</v>
      </c>
      <c r="F283" s="25"/>
      <c r="G283" s="25" t="s">
        <v>2196</v>
      </c>
      <c r="H283" s="55" t="s">
        <v>2211</v>
      </c>
      <c r="I283" s="18">
        <v>2005.5</v>
      </c>
      <c r="J283" s="84" t="s">
        <v>1290</v>
      </c>
    </row>
    <row r="284" spans="1:10" ht="38.25" x14ac:dyDescent="0.2">
      <c r="A284" s="229"/>
      <c r="B284" s="25">
        <v>15</v>
      </c>
      <c r="C284" s="83" t="s">
        <v>1713</v>
      </c>
      <c r="D284" s="85" t="s">
        <v>1656</v>
      </c>
      <c r="E284" s="101" t="s">
        <v>2203</v>
      </c>
      <c r="F284" s="25"/>
      <c r="G284" s="25" t="s">
        <v>2196</v>
      </c>
      <c r="H284" s="55" t="s">
        <v>2199</v>
      </c>
      <c r="I284" s="18">
        <v>122313.66</v>
      </c>
      <c r="J284" s="84" t="s">
        <v>1290</v>
      </c>
    </row>
    <row r="285" spans="1:10" ht="38.25" x14ac:dyDescent="0.2">
      <c r="A285" s="229"/>
      <c r="B285" s="25">
        <v>16</v>
      </c>
      <c r="C285" s="83" t="s">
        <v>45</v>
      </c>
      <c r="D285" s="85" t="s">
        <v>1656</v>
      </c>
      <c r="E285" s="101" t="s">
        <v>2204</v>
      </c>
      <c r="F285" s="25"/>
      <c r="G285" s="25" t="s">
        <v>2196</v>
      </c>
      <c r="H285" s="55" t="s">
        <v>2207</v>
      </c>
      <c r="I285" s="18">
        <v>338.94</v>
      </c>
      <c r="J285" s="84" t="s">
        <v>1290</v>
      </c>
    </row>
    <row r="286" spans="1:10" ht="38.25" x14ac:dyDescent="0.2">
      <c r="A286" s="229"/>
      <c r="B286" s="25">
        <v>17</v>
      </c>
      <c r="C286" s="83" t="s">
        <v>1728</v>
      </c>
      <c r="D286" s="85" t="s">
        <v>1656</v>
      </c>
      <c r="E286" s="101" t="s">
        <v>1752</v>
      </c>
      <c r="F286" s="25"/>
      <c r="G286" s="25" t="s">
        <v>2196</v>
      </c>
      <c r="H286" s="55" t="s">
        <v>2197</v>
      </c>
      <c r="I286" s="18">
        <v>1858.5</v>
      </c>
      <c r="J286" s="84" t="s">
        <v>1290</v>
      </c>
    </row>
    <row r="287" spans="1:10" ht="38.25" x14ac:dyDescent="0.2">
      <c r="A287" s="229"/>
      <c r="B287" s="25">
        <v>18</v>
      </c>
      <c r="C287" s="83" t="s">
        <v>41</v>
      </c>
      <c r="D287" s="85" t="s">
        <v>1656</v>
      </c>
      <c r="E287" s="101" t="s">
        <v>2205</v>
      </c>
      <c r="F287" s="25"/>
      <c r="G287" s="25" t="s">
        <v>2196</v>
      </c>
      <c r="H287" s="55" t="s">
        <v>2200</v>
      </c>
      <c r="I287" s="18">
        <v>10374</v>
      </c>
      <c r="J287" s="84" t="s">
        <v>1290</v>
      </c>
    </row>
    <row r="288" spans="1:10" ht="38.25" x14ac:dyDescent="0.2">
      <c r="A288" s="229"/>
      <c r="B288" s="25">
        <v>19</v>
      </c>
      <c r="C288" s="83" t="s">
        <v>307</v>
      </c>
      <c r="D288" s="85" t="s">
        <v>1656</v>
      </c>
      <c r="E288" s="101" t="s">
        <v>2194</v>
      </c>
      <c r="F288" s="25"/>
      <c r="G288" s="25" t="s">
        <v>2196</v>
      </c>
      <c r="H288" s="55" t="s">
        <v>2201</v>
      </c>
      <c r="I288" s="18">
        <v>1789.2</v>
      </c>
      <c r="J288" s="84" t="s">
        <v>1290</v>
      </c>
    </row>
    <row r="289" spans="1:10" ht="38.25" x14ac:dyDescent="0.2">
      <c r="A289" s="229"/>
      <c r="B289" s="25">
        <v>20</v>
      </c>
      <c r="C289" s="83" t="s">
        <v>307</v>
      </c>
      <c r="D289" s="85" t="s">
        <v>1618</v>
      </c>
      <c r="E289" s="101" t="s">
        <v>2194</v>
      </c>
      <c r="F289" s="25"/>
      <c r="G289" s="25" t="s">
        <v>2196</v>
      </c>
      <c r="H289" s="55" t="s">
        <v>2201</v>
      </c>
      <c r="I289" s="18">
        <f>409.5+81.9</f>
        <v>491.4</v>
      </c>
      <c r="J289" s="84" t="s">
        <v>1290</v>
      </c>
    </row>
    <row r="290" spans="1:10" ht="38.25" x14ac:dyDescent="0.2">
      <c r="A290" s="229"/>
      <c r="B290" s="25">
        <v>21</v>
      </c>
      <c r="C290" s="83" t="s">
        <v>1728</v>
      </c>
      <c r="D290" s="85" t="s">
        <v>1618</v>
      </c>
      <c r="E290" s="101" t="s">
        <v>1752</v>
      </c>
      <c r="F290" s="25"/>
      <c r="G290" s="25" t="s">
        <v>2196</v>
      </c>
      <c r="H290" s="55" t="s">
        <v>2197</v>
      </c>
      <c r="I290" s="18">
        <f>32923.8+340.2</f>
        <v>33264</v>
      </c>
      <c r="J290" s="84" t="s">
        <v>1290</v>
      </c>
    </row>
    <row r="291" spans="1:10" ht="38.25" x14ac:dyDescent="0.2">
      <c r="A291" s="229"/>
      <c r="B291" s="25">
        <v>22</v>
      </c>
      <c r="C291" s="83" t="s">
        <v>45</v>
      </c>
      <c r="D291" s="85" t="s">
        <v>1618</v>
      </c>
      <c r="E291" s="101" t="s">
        <v>2212</v>
      </c>
      <c r="F291" s="25"/>
      <c r="G291" s="25" t="s">
        <v>2196</v>
      </c>
      <c r="H291" s="55" t="s">
        <v>2207</v>
      </c>
      <c r="I291" s="18">
        <f>3465+1554+255.15+574.87</f>
        <v>5849.0199999999995</v>
      </c>
      <c r="J291" s="84" t="s">
        <v>1290</v>
      </c>
    </row>
    <row r="292" spans="1:10" ht="38.25" x14ac:dyDescent="0.2">
      <c r="A292" s="229"/>
      <c r="B292" s="25">
        <v>23</v>
      </c>
      <c r="C292" s="83" t="s">
        <v>41</v>
      </c>
      <c r="D292" s="85" t="s">
        <v>1618</v>
      </c>
      <c r="E292" s="101">
        <v>31</v>
      </c>
      <c r="F292" s="25"/>
      <c r="G292" s="25" t="s">
        <v>2196</v>
      </c>
      <c r="H292" s="55" t="s">
        <v>2200</v>
      </c>
      <c r="I292" s="18">
        <v>5013.75</v>
      </c>
      <c r="J292" s="84" t="s">
        <v>1290</v>
      </c>
    </row>
    <row r="293" spans="1:10" ht="38.25" x14ac:dyDescent="0.2">
      <c r="A293" s="229"/>
      <c r="B293" s="25">
        <v>24</v>
      </c>
      <c r="C293" s="83" t="s">
        <v>1713</v>
      </c>
      <c r="D293" s="85" t="s">
        <v>1618</v>
      </c>
      <c r="E293" s="101" t="s">
        <v>2213</v>
      </c>
      <c r="F293" s="25"/>
      <c r="G293" s="25" t="s">
        <v>2196</v>
      </c>
      <c r="H293" s="55" t="s">
        <v>2199</v>
      </c>
      <c r="I293" s="18">
        <f>48671.7+17816.4+882+132.3+9696.75+3630.9+617.4+94.5+119.7</f>
        <v>81661.649999999994</v>
      </c>
      <c r="J293" s="84" t="s">
        <v>1290</v>
      </c>
    </row>
    <row r="294" spans="1:10" ht="38.25" x14ac:dyDescent="0.2">
      <c r="A294" s="229"/>
      <c r="B294" s="25">
        <v>25</v>
      </c>
      <c r="C294" s="83" t="s">
        <v>45</v>
      </c>
      <c r="D294" s="85" t="s">
        <v>2259</v>
      </c>
      <c r="E294" s="101" t="s">
        <v>2192</v>
      </c>
      <c r="F294" s="25"/>
      <c r="G294" s="25" t="s">
        <v>2196</v>
      </c>
      <c r="H294" s="55" t="s">
        <v>2207</v>
      </c>
      <c r="I294" s="18">
        <v>812.7</v>
      </c>
      <c r="J294" s="84" t="s">
        <v>1290</v>
      </c>
    </row>
    <row r="295" spans="1:10" ht="38.25" x14ac:dyDescent="0.2">
      <c r="A295" s="229"/>
      <c r="B295" s="44">
        <v>26</v>
      </c>
      <c r="C295" s="86" t="s">
        <v>1713</v>
      </c>
      <c r="D295" s="87" t="s">
        <v>2259</v>
      </c>
      <c r="E295" s="100" t="s">
        <v>2260</v>
      </c>
      <c r="F295" s="44"/>
      <c r="G295" s="44" t="s">
        <v>2196</v>
      </c>
      <c r="H295" s="88" t="s">
        <v>2199</v>
      </c>
      <c r="I295" s="48">
        <v>62114.85</v>
      </c>
      <c r="J295" s="89" t="s">
        <v>1290</v>
      </c>
    </row>
    <row r="296" spans="1:10" ht="38.25" x14ac:dyDescent="0.2">
      <c r="A296" s="229"/>
      <c r="B296" s="25">
        <v>27</v>
      </c>
      <c r="C296" s="86" t="s">
        <v>1713</v>
      </c>
      <c r="D296" s="85" t="s">
        <v>2154</v>
      </c>
      <c r="E296" s="100" t="s">
        <v>2314</v>
      </c>
      <c r="F296" s="44"/>
      <c r="G296" s="44" t="s">
        <v>2196</v>
      </c>
      <c r="H296" s="88" t="s">
        <v>2199</v>
      </c>
      <c r="I296" s="48">
        <f>(116.1+25.2+31.08+72765+8114.4+1108.8+8.68+37.8+369.4+296.8+212.8+663.6+94.5+57)*1.05</f>
        <v>88096.218000000008</v>
      </c>
      <c r="J296" s="89" t="s">
        <v>1290</v>
      </c>
    </row>
    <row r="297" spans="1:10" ht="38.25" x14ac:dyDescent="0.2">
      <c r="A297" s="229"/>
      <c r="B297" s="44">
        <v>28</v>
      </c>
      <c r="C297" s="86" t="s">
        <v>307</v>
      </c>
      <c r="D297" s="85" t="s">
        <v>2383</v>
      </c>
      <c r="E297" s="100" t="s">
        <v>2418</v>
      </c>
      <c r="F297" s="44"/>
      <c r="G297" s="44" t="s">
        <v>2386</v>
      </c>
      <c r="H297" s="88" t="s">
        <v>2419</v>
      </c>
      <c r="I297" s="48">
        <v>2674.98</v>
      </c>
      <c r="J297" s="89" t="s">
        <v>1290</v>
      </c>
    </row>
    <row r="298" spans="1:10" ht="38.25" x14ac:dyDescent="0.2">
      <c r="A298" s="229"/>
      <c r="B298" s="25">
        <v>29</v>
      </c>
      <c r="C298" s="83" t="s">
        <v>1728</v>
      </c>
      <c r="D298" s="85" t="s">
        <v>2383</v>
      </c>
      <c r="E298" s="100">
        <v>34</v>
      </c>
      <c r="F298" s="44"/>
      <c r="G298" s="44" t="s">
        <v>2386</v>
      </c>
      <c r="H298" s="88" t="s">
        <v>2420</v>
      </c>
      <c r="I298" s="48">
        <v>277.2</v>
      </c>
      <c r="J298" s="89" t="s">
        <v>1290</v>
      </c>
    </row>
    <row r="299" spans="1:10" ht="38.25" x14ac:dyDescent="0.2">
      <c r="A299" s="229"/>
      <c r="B299" s="44">
        <v>30</v>
      </c>
      <c r="C299" s="83" t="s">
        <v>45</v>
      </c>
      <c r="D299" s="85" t="s">
        <v>2383</v>
      </c>
      <c r="E299" s="100" t="s">
        <v>2204</v>
      </c>
      <c r="F299" s="44"/>
      <c r="G299" s="44" t="s">
        <v>2386</v>
      </c>
      <c r="H299" s="88" t="s">
        <v>2421</v>
      </c>
      <c r="I299" s="48">
        <v>20162.52</v>
      </c>
      <c r="J299" s="89" t="s">
        <v>1290</v>
      </c>
    </row>
    <row r="300" spans="1:10" ht="38.25" x14ac:dyDescent="0.2">
      <c r="A300" s="229"/>
      <c r="B300" s="25">
        <v>31</v>
      </c>
      <c r="C300" s="86" t="s">
        <v>1713</v>
      </c>
      <c r="D300" s="85" t="s">
        <v>2383</v>
      </c>
      <c r="E300" s="100" t="s">
        <v>2422</v>
      </c>
      <c r="F300" s="44"/>
      <c r="G300" s="44" t="s">
        <v>2394</v>
      </c>
      <c r="H300" s="88" t="s">
        <v>2423</v>
      </c>
      <c r="I300" s="48">
        <v>14617.43</v>
      </c>
      <c r="J300" s="89" t="s">
        <v>1290</v>
      </c>
    </row>
    <row r="301" spans="1:10" ht="38.25" x14ac:dyDescent="0.2">
      <c r="A301" s="229"/>
      <c r="B301" s="44">
        <v>32</v>
      </c>
      <c r="C301" s="83" t="s">
        <v>41</v>
      </c>
      <c r="D301" s="85" t="s">
        <v>2383</v>
      </c>
      <c r="E301" s="100" t="s">
        <v>2424</v>
      </c>
      <c r="F301" s="44"/>
      <c r="G301" s="44" t="s">
        <v>2389</v>
      </c>
      <c r="H301" s="88" t="s">
        <v>2425</v>
      </c>
      <c r="I301" s="48">
        <v>4447.8</v>
      </c>
      <c r="J301" s="89" t="s">
        <v>1290</v>
      </c>
    </row>
    <row r="302" spans="1:10" ht="38.25" x14ac:dyDescent="0.2">
      <c r="A302" s="229"/>
      <c r="B302" s="25">
        <v>33</v>
      </c>
      <c r="C302" s="95" t="s">
        <v>2519</v>
      </c>
      <c r="D302" s="85" t="s">
        <v>2554</v>
      </c>
      <c r="E302" s="100" t="s">
        <v>2555</v>
      </c>
      <c r="F302" s="44"/>
      <c r="G302" s="44" t="s">
        <v>2521</v>
      </c>
      <c r="H302" s="88" t="s">
        <v>2556</v>
      </c>
      <c r="I302" s="48">
        <v>165194.23000000001</v>
      </c>
      <c r="J302" s="89" t="s">
        <v>1290</v>
      </c>
    </row>
    <row r="303" spans="1:10" ht="38.25" x14ac:dyDescent="0.2">
      <c r="A303" s="229"/>
      <c r="B303" s="44">
        <v>34</v>
      </c>
      <c r="C303" s="83" t="s">
        <v>41</v>
      </c>
      <c r="D303" s="85" t="s">
        <v>2554</v>
      </c>
      <c r="E303" s="100" t="s">
        <v>2193</v>
      </c>
      <c r="F303" s="44"/>
      <c r="G303" s="44" t="s">
        <v>2521</v>
      </c>
      <c r="H303" s="88" t="s">
        <v>2556</v>
      </c>
      <c r="I303" s="48">
        <v>2473.8000000000002</v>
      </c>
      <c r="J303" s="89" t="s">
        <v>1290</v>
      </c>
    </row>
    <row r="304" spans="1:10" ht="38.25" x14ac:dyDescent="0.2">
      <c r="A304" s="229"/>
      <c r="B304" s="25">
        <v>35</v>
      </c>
      <c r="C304" s="83" t="s">
        <v>1728</v>
      </c>
      <c r="D304" s="85" t="s">
        <v>2554</v>
      </c>
      <c r="E304" s="100" t="s">
        <v>2191</v>
      </c>
      <c r="F304" s="44"/>
      <c r="G304" s="44" t="s">
        <v>2539</v>
      </c>
      <c r="H304" s="88" t="s">
        <v>2557</v>
      </c>
      <c r="I304" s="48">
        <v>65247.63</v>
      </c>
      <c r="J304" s="89" t="s">
        <v>1290</v>
      </c>
    </row>
    <row r="305" spans="1:10" ht="38.25" x14ac:dyDescent="0.2">
      <c r="A305" s="229"/>
      <c r="B305" s="44">
        <v>36</v>
      </c>
      <c r="C305" s="86" t="s">
        <v>307</v>
      </c>
      <c r="D305" s="85" t="s">
        <v>2554</v>
      </c>
      <c r="E305" s="100" t="s">
        <v>2194</v>
      </c>
      <c r="F305" s="44"/>
      <c r="G305" s="44" t="s">
        <v>2505</v>
      </c>
      <c r="H305" s="88" t="s">
        <v>2558</v>
      </c>
      <c r="I305" s="48">
        <v>1038.45</v>
      </c>
      <c r="J305" s="89" t="s">
        <v>1290</v>
      </c>
    </row>
    <row r="306" spans="1:10" ht="38.25" x14ac:dyDescent="0.2">
      <c r="A306" s="229"/>
      <c r="B306" s="44">
        <v>37</v>
      </c>
      <c r="C306" s="83" t="s">
        <v>45</v>
      </c>
      <c r="D306" s="85" t="s">
        <v>2554</v>
      </c>
      <c r="E306" s="100" t="s">
        <v>2195</v>
      </c>
      <c r="F306" s="44"/>
      <c r="G306" s="44" t="s">
        <v>2386</v>
      </c>
      <c r="H306" s="88" t="s">
        <v>2559</v>
      </c>
      <c r="I306" s="48">
        <v>9850.81</v>
      </c>
      <c r="J306" s="89" t="s">
        <v>1290</v>
      </c>
    </row>
    <row r="307" spans="1:10" ht="38.25" x14ac:dyDescent="0.2">
      <c r="A307" s="229"/>
      <c r="B307" s="25">
        <v>38</v>
      </c>
      <c r="C307" s="95" t="s">
        <v>2519</v>
      </c>
      <c r="D307" s="85" t="s">
        <v>2560</v>
      </c>
      <c r="E307" s="100" t="s">
        <v>2561</v>
      </c>
      <c r="F307" s="44"/>
      <c r="G307" s="44" t="s">
        <v>2517</v>
      </c>
      <c r="H307" s="88" t="s">
        <v>2563</v>
      </c>
      <c r="I307" s="48">
        <v>35826.019999999997</v>
      </c>
      <c r="J307" s="89" t="s">
        <v>1290</v>
      </c>
    </row>
    <row r="308" spans="1:10" ht="38.25" x14ac:dyDescent="0.2">
      <c r="A308" s="229"/>
      <c r="B308" s="44">
        <v>39</v>
      </c>
      <c r="C308" s="83" t="s">
        <v>41</v>
      </c>
      <c r="D308" s="93" t="s">
        <v>2352</v>
      </c>
      <c r="E308" s="100">
        <v>31</v>
      </c>
      <c r="F308" s="44"/>
      <c r="G308" s="44" t="s">
        <v>2505</v>
      </c>
      <c r="H308" s="88" t="s">
        <v>2558</v>
      </c>
      <c r="I308" s="48">
        <v>401.1</v>
      </c>
      <c r="J308" s="89" t="s">
        <v>1290</v>
      </c>
    </row>
    <row r="309" spans="1:10" ht="38.25" x14ac:dyDescent="0.2">
      <c r="A309" s="229"/>
      <c r="B309" s="44">
        <v>40</v>
      </c>
      <c r="C309" s="83" t="s">
        <v>1728</v>
      </c>
      <c r="D309" s="93" t="s">
        <v>2352</v>
      </c>
      <c r="E309" s="100" t="s">
        <v>2564</v>
      </c>
      <c r="F309" s="44"/>
      <c r="G309" s="44" t="s">
        <v>2386</v>
      </c>
      <c r="H309" s="88" t="s">
        <v>2559</v>
      </c>
      <c r="I309" s="48">
        <v>209.74</v>
      </c>
      <c r="J309" s="89" t="s">
        <v>1290</v>
      </c>
    </row>
    <row r="310" spans="1:10" ht="38.25" x14ac:dyDescent="0.2">
      <c r="A310" s="229"/>
      <c r="B310" s="25">
        <v>41</v>
      </c>
      <c r="C310" s="86" t="s">
        <v>307</v>
      </c>
      <c r="D310" s="93" t="s">
        <v>2352</v>
      </c>
      <c r="E310" s="100" t="s">
        <v>2418</v>
      </c>
      <c r="F310" s="44"/>
      <c r="G310" s="44" t="s">
        <v>2283</v>
      </c>
      <c r="H310" s="88" t="s">
        <v>2565</v>
      </c>
      <c r="I310" s="48">
        <v>551.25</v>
      </c>
      <c r="J310" s="89" t="s">
        <v>1290</v>
      </c>
    </row>
    <row r="311" spans="1:10" ht="38.25" x14ac:dyDescent="0.2">
      <c r="A311" s="229"/>
      <c r="B311" s="44">
        <v>42</v>
      </c>
      <c r="C311" s="83" t="s">
        <v>45</v>
      </c>
      <c r="D311" s="93" t="s">
        <v>2352</v>
      </c>
      <c r="E311" s="100" t="s">
        <v>2566</v>
      </c>
      <c r="F311" s="44"/>
      <c r="G311" s="44" t="s">
        <v>2567</v>
      </c>
      <c r="H311" s="88" t="s">
        <v>2568</v>
      </c>
      <c r="I311" s="48">
        <v>445.73</v>
      </c>
      <c r="J311" s="89" t="s">
        <v>1290</v>
      </c>
    </row>
    <row r="312" spans="1:10" ht="38.25" x14ac:dyDescent="0.2">
      <c r="A312" s="229"/>
      <c r="B312" s="25">
        <v>43</v>
      </c>
      <c r="C312" s="95" t="s">
        <v>2519</v>
      </c>
      <c r="D312" s="93" t="s">
        <v>2352</v>
      </c>
      <c r="E312" s="100" t="s">
        <v>2614</v>
      </c>
      <c r="F312" s="44"/>
      <c r="G312" s="44" t="s">
        <v>2505</v>
      </c>
      <c r="H312" s="88" t="s">
        <v>2558</v>
      </c>
      <c r="I312" s="48">
        <v>32968.86</v>
      </c>
      <c r="J312" s="89" t="s">
        <v>1290</v>
      </c>
    </row>
    <row r="313" spans="1:10" ht="38.25" x14ac:dyDescent="0.2">
      <c r="A313" s="229"/>
      <c r="B313" s="44">
        <v>44</v>
      </c>
      <c r="C313" s="86" t="s">
        <v>307</v>
      </c>
      <c r="D313" s="93" t="s">
        <v>6</v>
      </c>
      <c r="E313" s="100" t="s">
        <v>2194</v>
      </c>
      <c r="F313" s="100" t="s">
        <v>2865</v>
      </c>
      <c r="G313" s="44" t="s">
        <v>2863</v>
      </c>
      <c r="H313" s="88" t="s">
        <v>2864</v>
      </c>
      <c r="I313" s="48">
        <f>27041.18+13820.63</f>
        <v>40861.81</v>
      </c>
      <c r="J313" s="89" t="s">
        <v>1290</v>
      </c>
    </row>
    <row r="314" spans="1:10" ht="38.25" x14ac:dyDescent="0.2">
      <c r="A314" s="229"/>
      <c r="B314" s="25">
        <v>45</v>
      </c>
      <c r="C314" s="83" t="s">
        <v>1728</v>
      </c>
      <c r="D314" s="93" t="s">
        <v>2788</v>
      </c>
      <c r="E314" s="100" t="s">
        <v>2191</v>
      </c>
      <c r="F314" s="44"/>
      <c r="G314" s="44" t="s">
        <v>2866</v>
      </c>
      <c r="H314" s="88" t="s">
        <v>2867</v>
      </c>
      <c r="I314" s="48">
        <v>13028.4</v>
      </c>
      <c r="J314" s="89" t="s">
        <v>1290</v>
      </c>
    </row>
    <row r="315" spans="1:10" ht="38.25" x14ac:dyDescent="0.2">
      <c r="A315" s="229"/>
      <c r="B315" s="44">
        <v>46</v>
      </c>
      <c r="C315" s="83" t="s">
        <v>45</v>
      </c>
      <c r="D315" s="93" t="s">
        <v>2788</v>
      </c>
      <c r="E315" s="100" t="s">
        <v>2566</v>
      </c>
      <c r="F315" s="44"/>
      <c r="G315" s="44" t="s">
        <v>2843</v>
      </c>
      <c r="H315" s="88" t="s">
        <v>2868</v>
      </c>
      <c r="I315" s="48">
        <v>24554.25</v>
      </c>
      <c r="J315" s="89" t="s">
        <v>1290</v>
      </c>
    </row>
    <row r="316" spans="1:10" ht="38.25" x14ac:dyDescent="0.2">
      <c r="A316" s="229"/>
      <c r="B316" s="25">
        <v>47</v>
      </c>
      <c r="C316" s="83" t="s">
        <v>41</v>
      </c>
      <c r="D316" s="93" t="s">
        <v>2788</v>
      </c>
      <c r="E316" s="100">
        <v>31</v>
      </c>
      <c r="F316" s="44"/>
      <c r="G316" s="44" t="s">
        <v>2843</v>
      </c>
      <c r="H316" s="88" t="s">
        <v>2869</v>
      </c>
      <c r="I316" s="48">
        <v>20055</v>
      </c>
      <c r="J316" s="89" t="s">
        <v>1290</v>
      </c>
    </row>
    <row r="317" spans="1:10" ht="38.25" x14ac:dyDescent="0.2">
      <c r="A317" s="229"/>
      <c r="B317" s="44">
        <v>48</v>
      </c>
      <c r="C317" s="95" t="s">
        <v>2519</v>
      </c>
      <c r="D317" s="93" t="s">
        <v>2788</v>
      </c>
      <c r="E317" s="100" t="s">
        <v>2870</v>
      </c>
      <c r="F317" s="44"/>
      <c r="G317" s="44" t="s">
        <v>2510</v>
      </c>
      <c r="H317" s="88" t="s">
        <v>2871</v>
      </c>
      <c r="I317" s="48">
        <v>117772.62</v>
      </c>
      <c r="J317" s="89" t="s">
        <v>1290</v>
      </c>
    </row>
    <row r="318" spans="1:10" ht="38.25" x14ac:dyDescent="0.2">
      <c r="A318" s="229"/>
      <c r="B318" s="25">
        <v>49</v>
      </c>
      <c r="C318" s="86" t="s">
        <v>307</v>
      </c>
      <c r="D318" s="85" t="s">
        <v>1637</v>
      </c>
      <c r="E318" s="100" t="s">
        <v>2194</v>
      </c>
      <c r="F318" s="44"/>
      <c r="G318" s="44" t="s">
        <v>3175</v>
      </c>
      <c r="H318" s="88" t="s">
        <v>3176</v>
      </c>
      <c r="I318" s="48">
        <v>3265.5</v>
      </c>
      <c r="J318" s="89" t="s">
        <v>1290</v>
      </c>
    </row>
    <row r="319" spans="1:10" ht="38.25" x14ac:dyDescent="0.2">
      <c r="A319" s="229"/>
      <c r="B319" s="44">
        <v>50</v>
      </c>
      <c r="C319" s="83" t="s">
        <v>41</v>
      </c>
      <c r="D319" s="85" t="s">
        <v>1637</v>
      </c>
      <c r="E319" s="100" t="s">
        <v>2193</v>
      </c>
      <c r="F319" s="44"/>
      <c r="G319" s="44" t="s">
        <v>3179</v>
      </c>
      <c r="H319" s="88" t="s">
        <v>3177</v>
      </c>
      <c r="I319" s="48">
        <v>7672.35</v>
      </c>
      <c r="J319" s="89" t="s">
        <v>1290</v>
      </c>
    </row>
    <row r="320" spans="1:10" ht="38.25" x14ac:dyDescent="0.2">
      <c r="A320" s="229"/>
      <c r="B320" s="25">
        <v>51</v>
      </c>
      <c r="C320" s="83" t="s">
        <v>45</v>
      </c>
      <c r="D320" s="85" t="s">
        <v>1637</v>
      </c>
      <c r="E320" s="100" t="s">
        <v>3178</v>
      </c>
      <c r="F320" s="44"/>
      <c r="G320" s="44" t="s">
        <v>3175</v>
      </c>
      <c r="H320" s="88" t="s">
        <v>3180</v>
      </c>
      <c r="I320" s="48">
        <v>9952.43</v>
      </c>
      <c r="J320" s="89" t="s">
        <v>1290</v>
      </c>
    </row>
    <row r="321" spans="1:10" ht="38.25" x14ac:dyDescent="0.2">
      <c r="A321" s="229"/>
      <c r="B321" s="44">
        <v>52</v>
      </c>
      <c r="C321" s="83" t="s">
        <v>1728</v>
      </c>
      <c r="D321" s="85" t="s">
        <v>1637</v>
      </c>
      <c r="E321" s="100" t="s">
        <v>2191</v>
      </c>
      <c r="F321" s="44"/>
      <c r="G321" s="44" t="s">
        <v>3175</v>
      </c>
      <c r="H321" s="88" t="s">
        <v>3181</v>
      </c>
      <c r="I321" s="48">
        <v>17598</v>
      </c>
      <c r="J321" s="89" t="s">
        <v>1290</v>
      </c>
    </row>
    <row r="322" spans="1:10" ht="38.25" x14ac:dyDescent="0.2">
      <c r="A322" s="229"/>
      <c r="B322" s="25">
        <v>53</v>
      </c>
      <c r="C322" s="95" t="s">
        <v>2519</v>
      </c>
      <c r="D322" s="85" t="s">
        <v>1637</v>
      </c>
      <c r="E322" s="100" t="s">
        <v>3182</v>
      </c>
      <c r="F322" s="44"/>
      <c r="G322" s="44" t="s">
        <v>3175</v>
      </c>
      <c r="H322" s="88" t="s">
        <v>3183</v>
      </c>
      <c r="I322" s="48">
        <v>102677.95</v>
      </c>
      <c r="J322" s="89" t="s">
        <v>1290</v>
      </c>
    </row>
    <row r="323" spans="1:10" ht="38.25" x14ac:dyDescent="0.2">
      <c r="A323" s="229"/>
      <c r="B323" s="44">
        <v>54</v>
      </c>
      <c r="C323" s="83" t="s">
        <v>1728</v>
      </c>
      <c r="D323" s="85" t="s">
        <v>1749</v>
      </c>
      <c r="E323" s="100" t="s">
        <v>1752</v>
      </c>
      <c r="F323" s="44"/>
      <c r="G323" s="44" t="s">
        <v>3175</v>
      </c>
      <c r="H323" s="88" t="s">
        <v>3181</v>
      </c>
      <c r="I323" s="48">
        <f>5191.83+352.3</f>
        <v>5544.13</v>
      </c>
      <c r="J323" s="89" t="s">
        <v>1290</v>
      </c>
    </row>
    <row r="324" spans="1:10" ht="38.25" x14ac:dyDescent="0.2">
      <c r="A324" s="229"/>
      <c r="B324" s="25">
        <v>55</v>
      </c>
      <c r="C324" s="83" t="s">
        <v>41</v>
      </c>
      <c r="D324" s="85" t="s">
        <v>1749</v>
      </c>
      <c r="E324" s="100" t="s">
        <v>2193</v>
      </c>
      <c r="F324" s="44"/>
      <c r="G324" s="44" t="s">
        <v>3175</v>
      </c>
      <c r="H324" s="88" t="s">
        <v>3273</v>
      </c>
      <c r="I324" s="48">
        <f>336+168+1719.9</f>
        <v>2223.9</v>
      </c>
      <c r="J324" s="89" t="s">
        <v>1290</v>
      </c>
    </row>
    <row r="325" spans="1:10" ht="38.25" x14ac:dyDescent="0.2">
      <c r="A325" s="229"/>
      <c r="B325" s="44">
        <v>56</v>
      </c>
      <c r="C325" s="83" t="s">
        <v>45</v>
      </c>
      <c r="D325" s="85" t="s">
        <v>1749</v>
      </c>
      <c r="E325" s="100" t="s">
        <v>2204</v>
      </c>
      <c r="F325" s="44"/>
      <c r="G325" s="44" t="s">
        <v>3175</v>
      </c>
      <c r="H325" s="88" t="s">
        <v>3180</v>
      </c>
      <c r="I325" s="48">
        <f>10786.55+765.45+1494.68</f>
        <v>13046.68</v>
      </c>
      <c r="J325" s="89" t="s">
        <v>1290</v>
      </c>
    </row>
    <row r="326" spans="1:10" ht="38.25" x14ac:dyDescent="0.2">
      <c r="A326" s="229"/>
      <c r="B326" s="25">
        <v>57</v>
      </c>
      <c r="C326" s="86" t="s">
        <v>307</v>
      </c>
      <c r="D326" s="85" t="s">
        <v>1749</v>
      </c>
      <c r="E326" s="100" t="s">
        <v>2194</v>
      </c>
      <c r="F326" s="44"/>
      <c r="G326" s="44" t="s">
        <v>3175</v>
      </c>
      <c r="H326" s="88" t="s">
        <v>3176</v>
      </c>
      <c r="I326" s="48">
        <f>1612.8+1056.51</f>
        <v>2669.31</v>
      </c>
      <c r="J326" s="89" t="s">
        <v>1290</v>
      </c>
    </row>
    <row r="327" spans="1:10" ht="38.25" x14ac:dyDescent="0.2">
      <c r="A327" s="229"/>
      <c r="B327" s="44">
        <v>58</v>
      </c>
      <c r="C327" s="95" t="s">
        <v>2519</v>
      </c>
      <c r="D327" s="85" t="s">
        <v>1749</v>
      </c>
      <c r="E327" s="100" t="s">
        <v>3274</v>
      </c>
      <c r="F327" s="44"/>
      <c r="G327" s="44" t="s">
        <v>3175</v>
      </c>
      <c r="H327" s="88" t="s">
        <v>3183</v>
      </c>
      <c r="I327" s="48">
        <f>135.45+115.92+43719.64+2101.68+17724.42+1079.57+127.6+899.64+9.77+12993.65+7635.18+31616.76+6032.88+765.45+466.83+36.23</f>
        <v>125460.66999999998</v>
      </c>
      <c r="J327" s="89" t="s">
        <v>1290</v>
      </c>
    </row>
    <row r="328" spans="1:10" ht="38.25" x14ac:dyDescent="0.2">
      <c r="A328" s="229"/>
      <c r="B328" s="25">
        <v>59</v>
      </c>
      <c r="C328" s="86" t="s">
        <v>307</v>
      </c>
      <c r="D328" s="85" t="s">
        <v>3334</v>
      </c>
      <c r="E328" s="100">
        <v>32</v>
      </c>
      <c r="F328" s="44"/>
      <c r="G328" s="44" t="s">
        <v>2196</v>
      </c>
      <c r="H328" s="88" t="s">
        <v>2201</v>
      </c>
      <c r="I328" s="48">
        <f>378*1.05</f>
        <v>396.90000000000003</v>
      </c>
      <c r="J328" s="89" t="s">
        <v>1290</v>
      </c>
    </row>
    <row r="329" spans="1:10" ht="38.25" x14ac:dyDescent="0.2">
      <c r="A329" s="229"/>
      <c r="B329" s="44">
        <v>60</v>
      </c>
      <c r="C329" s="83" t="s">
        <v>45</v>
      </c>
      <c r="D329" s="85" t="s">
        <v>3334</v>
      </c>
      <c r="E329" s="100">
        <v>1</v>
      </c>
      <c r="F329" s="44"/>
      <c r="G329" s="44" t="s">
        <v>2196</v>
      </c>
      <c r="H329" s="88" t="s">
        <v>2207</v>
      </c>
      <c r="I329" s="48" t="s">
        <v>3335</v>
      </c>
      <c r="J329" s="89" t="s">
        <v>1290</v>
      </c>
    </row>
    <row r="330" spans="1:10" ht="38.25" x14ac:dyDescent="0.2">
      <c r="A330" s="229"/>
      <c r="B330" s="25">
        <v>61</v>
      </c>
      <c r="C330" s="83" t="s">
        <v>41</v>
      </c>
      <c r="D330" s="85" t="s">
        <v>3334</v>
      </c>
      <c r="E330" s="100">
        <v>31</v>
      </c>
      <c r="F330" s="44"/>
      <c r="G330" s="44" t="s">
        <v>2196</v>
      </c>
      <c r="H330" s="88" t="s">
        <v>2200</v>
      </c>
      <c r="I330" s="48" t="s">
        <v>3335</v>
      </c>
      <c r="J330" s="89" t="s">
        <v>1290</v>
      </c>
    </row>
    <row r="331" spans="1:10" ht="38.25" x14ac:dyDescent="0.2">
      <c r="A331" s="229"/>
      <c r="B331" s="44">
        <v>62</v>
      </c>
      <c r="C331" s="95" t="s">
        <v>2519</v>
      </c>
      <c r="D331" s="85" t="s">
        <v>3334</v>
      </c>
      <c r="E331" s="100" t="s">
        <v>3336</v>
      </c>
      <c r="F331" s="44"/>
      <c r="G331" s="44" t="s">
        <v>2196</v>
      </c>
      <c r="H331" s="88" t="s">
        <v>2199</v>
      </c>
      <c r="I331" s="48">
        <f>(64680+9912+739.2+162+205.2)*1.05</f>
        <v>79483.319999999992</v>
      </c>
      <c r="J331" s="89" t="s">
        <v>1290</v>
      </c>
    </row>
    <row r="332" spans="1:10" ht="76.5" x14ac:dyDescent="0.2">
      <c r="A332" s="229"/>
      <c r="B332" s="25">
        <v>63</v>
      </c>
      <c r="C332" s="95" t="s">
        <v>2519</v>
      </c>
      <c r="D332" s="85" t="s">
        <v>1625</v>
      </c>
      <c r="E332" s="100" t="s">
        <v>3419</v>
      </c>
      <c r="F332" s="44"/>
      <c r="G332" s="44" t="s">
        <v>2879</v>
      </c>
      <c r="H332" s="88" t="s">
        <v>3420</v>
      </c>
      <c r="I332" s="89">
        <f>157.5+108.78+175444.5+9072+29295+136.71+472.5+96967.5+3339+14962.5+3307.5+751.28+532.67+72.45</f>
        <v>334619.89</v>
      </c>
      <c r="J332" s="89" t="s">
        <v>1290</v>
      </c>
    </row>
    <row r="333" spans="1:10" ht="38.25" x14ac:dyDescent="0.2">
      <c r="A333" s="229"/>
      <c r="B333" s="44">
        <v>64</v>
      </c>
      <c r="C333" s="83" t="s">
        <v>41</v>
      </c>
      <c r="D333" s="85" t="s">
        <v>1625</v>
      </c>
      <c r="E333" s="100" t="s">
        <v>2193</v>
      </c>
      <c r="F333" s="44"/>
      <c r="G333" s="44" t="s">
        <v>3327</v>
      </c>
      <c r="H333" s="88" t="s">
        <v>3421</v>
      </c>
      <c r="I333" s="48">
        <f>420+1730.4+9225.3</f>
        <v>11375.699999999999</v>
      </c>
      <c r="J333" s="89" t="s">
        <v>1290</v>
      </c>
    </row>
    <row r="334" spans="1:10" ht="51" x14ac:dyDescent="0.2">
      <c r="A334" s="229"/>
      <c r="B334" s="25">
        <v>65</v>
      </c>
      <c r="C334" s="83" t="s">
        <v>45</v>
      </c>
      <c r="D334" s="85" t="s">
        <v>1625</v>
      </c>
      <c r="E334" s="100" t="s">
        <v>2192</v>
      </c>
      <c r="F334" s="44"/>
      <c r="G334" s="44" t="s">
        <v>2636</v>
      </c>
      <c r="H334" s="88" t="s">
        <v>3422</v>
      </c>
      <c r="I334" s="48">
        <f>10887.03+897.75+6216+255.15+1149.75</f>
        <v>19405.68</v>
      </c>
      <c r="J334" s="89" t="s">
        <v>1290</v>
      </c>
    </row>
    <row r="335" spans="1:10" ht="38.25" x14ac:dyDescent="0.2">
      <c r="A335" s="229"/>
      <c r="B335" s="44">
        <v>66</v>
      </c>
      <c r="C335" s="83" t="s">
        <v>307</v>
      </c>
      <c r="D335" s="85" t="s">
        <v>1625</v>
      </c>
      <c r="E335" s="100" t="s">
        <v>2194</v>
      </c>
      <c r="F335" s="44"/>
      <c r="G335" s="44" t="s">
        <v>3327</v>
      </c>
      <c r="H335" s="88" t="s">
        <v>3459</v>
      </c>
      <c r="I335" s="48">
        <f>5484.15+2620.8</f>
        <v>8104.95</v>
      </c>
      <c r="J335" s="89" t="s">
        <v>1290</v>
      </c>
    </row>
    <row r="336" spans="1:10" ht="51" x14ac:dyDescent="0.2">
      <c r="A336" s="229"/>
      <c r="B336" s="25">
        <v>67</v>
      </c>
      <c r="C336" s="83" t="s">
        <v>1728</v>
      </c>
      <c r="D336" s="85" t="s">
        <v>1625</v>
      </c>
      <c r="E336" s="100" t="s">
        <v>2191</v>
      </c>
      <c r="F336" s="44"/>
      <c r="G336" s="44" t="s">
        <v>3327</v>
      </c>
      <c r="H336" s="88" t="s">
        <v>3460</v>
      </c>
      <c r="I336" s="48">
        <f>63220.5+5318.46+1272.6</f>
        <v>69811.560000000012</v>
      </c>
      <c r="J336" s="89" t="s">
        <v>1290</v>
      </c>
    </row>
    <row r="337" spans="1:10" ht="38.25" x14ac:dyDescent="0.2">
      <c r="A337" s="229"/>
      <c r="B337" s="44">
        <v>68</v>
      </c>
      <c r="C337" s="83" t="s">
        <v>45</v>
      </c>
      <c r="D337" s="85" t="s">
        <v>3502</v>
      </c>
      <c r="E337" s="100" t="s">
        <v>2566</v>
      </c>
      <c r="F337" s="44"/>
      <c r="G337" s="44" t="s">
        <v>2843</v>
      </c>
      <c r="H337" s="88" t="s">
        <v>3503</v>
      </c>
      <c r="I337" s="48">
        <f>1559.25+3591</f>
        <v>5150.25</v>
      </c>
      <c r="J337" s="89" t="s">
        <v>1290</v>
      </c>
    </row>
    <row r="338" spans="1:10" ht="38.25" x14ac:dyDescent="0.2">
      <c r="A338" s="229"/>
      <c r="B338" s="25">
        <v>69</v>
      </c>
      <c r="C338" s="83" t="s">
        <v>41</v>
      </c>
      <c r="D338" s="85" t="s">
        <v>3502</v>
      </c>
      <c r="E338" s="100" t="s">
        <v>2424</v>
      </c>
      <c r="F338" s="44"/>
      <c r="G338" s="44" t="s">
        <v>2283</v>
      </c>
      <c r="H338" s="88" t="s">
        <v>3504</v>
      </c>
      <c r="I338" s="48">
        <f>3780+4011</f>
        <v>7791</v>
      </c>
      <c r="J338" s="89" t="s">
        <v>1290</v>
      </c>
    </row>
    <row r="339" spans="1:10" ht="38.25" x14ac:dyDescent="0.2">
      <c r="A339" s="229"/>
      <c r="B339" s="44">
        <v>70</v>
      </c>
      <c r="C339" s="83" t="s">
        <v>307</v>
      </c>
      <c r="D339" s="85" t="s">
        <v>3502</v>
      </c>
      <c r="E339" s="100">
        <v>32</v>
      </c>
      <c r="F339" s="44"/>
      <c r="G339" s="44" t="s">
        <v>2283</v>
      </c>
      <c r="H339" s="88" t="s">
        <v>3505</v>
      </c>
      <c r="I339" s="48">
        <v>141.75</v>
      </c>
      <c r="J339" s="89" t="s">
        <v>1290</v>
      </c>
    </row>
    <row r="340" spans="1:10" ht="38.25" x14ac:dyDescent="0.2">
      <c r="A340" s="229"/>
      <c r="B340" s="25">
        <v>71</v>
      </c>
      <c r="C340" s="83" t="s">
        <v>1728</v>
      </c>
      <c r="D340" s="85" t="s">
        <v>3502</v>
      </c>
      <c r="E340" s="100" t="s">
        <v>2191</v>
      </c>
      <c r="F340" s="44"/>
      <c r="G340" s="44" t="s">
        <v>2283</v>
      </c>
      <c r="H340" s="88" t="s">
        <v>3506</v>
      </c>
      <c r="I340" s="48">
        <f>2341.5+12663+189</f>
        <v>15193.5</v>
      </c>
      <c r="J340" s="89" t="s">
        <v>1290</v>
      </c>
    </row>
    <row r="341" spans="1:10" ht="38.25" x14ac:dyDescent="0.2">
      <c r="A341" s="229"/>
      <c r="B341" s="44">
        <v>72</v>
      </c>
      <c r="C341" s="95" t="s">
        <v>2519</v>
      </c>
      <c r="D341" s="85" t="s">
        <v>3502</v>
      </c>
      <c r="E341" s="100" t="s">
        <v>3507</v>
      </c>
      <c r="F341" s="44"/>
      <c r="G341" s="44" t="s">
        <v>2283</v>
      </c>
      <c r="H341" s="88" t="s">
        <v>3508</v>
      </c>
      <c r="I341" s="48">
        <f>16978.5+6350.4+3281.04+1502.55+5187+582.12+33.08+17.96</f>
        <v>33932.650000000009</v>
      </c>
      <c r="J341" s="89" t="s">
        <v>1290</v>
      </c>
    </row>
    <row r="342" spans="1:10" ht="38.25" x14ac:dyDescent="0.2">
      <c r="A342" s="229"/>
      <c r="B342" s="25">
        <v>73</v>
      </c>
      <c r="C342" s="83" t="s">
        <v>45</v>
      </c>
      <c r="D342" s="85" t="s">
        <v>2142</v>
      </c>
      <c r="E342" s="100" t="s">
        <v>2195</v>
      </c>
      <c r="F342" s="44"/>
      <c r="G342" s="44" t="s">
        <v>1777</v>
      </c>
      <c r="H342" s="88" t="s">
        <v>3746</v>
      </c>
      <c r="I342" s="48">
        <v>6702.57</v>
      </c>
      <c r="J342" s="89" t="s">
        <v>1290</v>
      </c>
    </row>
    <row r="343" spans="1:10" ht="38.25" x14ac:dyDescent="0.2">
      <c r="A343" s="229"/>
      <c r="B343" s="44">
        <v>74</v>
      </c>
      <c r="C343" s="83" t="s">
        <v>1728</v>
      </c>
      <c r="D343" s="85" t="s">
        <v>2142</v>
      </c>
      <c r="E343" s="100" t="s">
        <v>2191</v>
      </c>
      <c r="F343" s="44"/>
      <c r="G343" s="44" t="s">
        <v>1777</v>
      </c>
      <c r="H343" s="88" t="s">
        <v>3747</v>
      </c>
      <c r="I343" s="48">
        <v>5560.28</v>
      </c>
      <c r="J343" s="89" t="s">
        <v>1290</v>
      </c>
    </row>
    <row r="344" spans="1:10" ht="38.25" x14ac:dyDescent="0.2">
      <c r="A344" s="229"/>
      <c r="B344" s="25">
        <v>75</v>
      </c>
      <c r="C344" s="83" t="s">
        <v>41</v>
      </c>
      <c r="D344" s="85" t="s">
        <v>2142</v>
      </c>
      <c r="E344" s="100" t="s">
        <v>2424</v>
      </c>
      <c r="F344" s="44"/>
      <c r="G344" s="44" t="s">
        <v>1777</v>
      </c>
      <c r="H344" s="88" t="s">
        <v>3748</v>
      </c>
      <c r="I344" s="48">
        <v>4095</v>
      </c>
      <c r="J344" s="89" t="s">
        <v>1290</v>
      </c>
    </row>
    <row r="345" spans="1:10" ht="38.25" x14ac:dyDescent="0.2">
      <c r="A345" s="229"/>
      <c r="B345" s="44">
        <v>76</v>
      </c>
      <c r="C345" s="95" t="s">
        <v>2519</v>
      </c>
      <c r="D345" s="85" t="s">
        <v>2142</v>
      </c>
      <c r="E345" s="100" t="s">
        <v>3749</v>
      </c>
      <c r="F345" s="44"/>
      <c r="G345" s="44" t="s">
        <v>1777</v>
      </c>
      <c r="H345" s="88" t="s">
        <v>3750</v>
      </c>
      <c r="I345" s="48">
        <v>108032.78</v>
      </c>
      <c r="J345" s="89" t="s">
        <v>1290</v>
      </c>
    </row>
    <row r="346" spans="1:10" ht="38.25" x14ac:dyDescent="0.2">
      <c r="A346" s="229"/>
      <c r="B346" s="25">
        <v>77</v>
      </c>
      <c r="C346" s="83" t="s">
        <v>307</v>
      </c>
      <c r="D346" s="85" t="s">
        <v>2142</v>
      </c>
      <c r="E346" s="100" t="s">
        <v>2194</v>
      </c>
      <c r="F346" s="44"/>
      <c r="G346" s="44" t="s">
        <v>1777</v>
      </c>
      <c r="H346" s="88" t="s">
        <v>3751</v>
      </c>
      <c r="I346" s="48">
        <v>557.54999999999995</v>
      </c>
      <c r="J346" s="89" t="s">
        <v>1290</v>
      </c>
    </row>
    <row r="347" spans="1:10" ht="38.25" x14ac:dyDescent="0.2">
      <c r="A347" s="229"/>
      <c r="B347" s="44">
        <v>78</v>
      </c>
      <c r="C347" s="83" t="s">
        <v>45</v>
      </c>
      <c r="D347" s="85" t="s">
        <v>1644</v>
      </c>
      <c r="E347" s="100" t="s">
        <v>2192</v>
      </c>
      <c r="F347" s="44"/>
      <c r="G347" s="44" t="s">
        <v>2551</v>
      </c>
      <c r="H347" s="88" t="s">
        <v>3882</v>
      </c>
      <c r="I347" s="48">
        <v>25509.23</v>
      </c>
      <c r="J347" s="89" t="s">
        <v>1290</v>
      </c>
    </row>
    <row r="348" spans="1:10" ht="38.25" x14ac:dyDescent="0.2">
      <c r="A348" s="229"/>
      <c r="B348" s="25">
        <v>79</v>
      </c>
      <c r="C348" s="95" t="s">
        <v>2519</v>
      </c>
      <c r="D348" s="85" t="s">
        <v>1644</v>
      </c>
      <c r="E348" s="100" t="s">
        <v>2260</v>
      </c>
      <c r="F348" s="44"/>
      <c r="G348" s="44" t="s">
        <v>2551</v>
      </c>
      <c r="H348" s="88" t="s">
        <v>3883</v>
      </c>
      <c r="I348" s="48">
        <v>135996.99</v>
      </c>
      <c r="J348" s="89" t="s">
        <v>1290</v>
      </c>
    </row>
    <row r="349" spans="1:10" s="6" customFormat="1" ht="38.25" x14ac:dyDescent="0.2">
      <c r="A349" s="229"/>
      <c r="B349" s="128">
        <v>80</v>
      </c>
      <c r="C349" s="154" t="s">
        <v>41</v>
      </c>
      <c r="D349" s="156" t="s">
        <v>1644</v>
      </c>
      <c r="E349" s="136" t="s">
        <v>2193</v>
      </c>
      <c r="F349" s="128"/>
      <c r="G349" s="128" t="s">
        <v>2636</v>
      </c>
      <c r="H349" s="136" t="s">
        <v>3884</v>
      </c>
      <c r="I349" s="129">
        <v>12184.2</v>
      </c>
      <c r="J349" s="157" t="s">
        <v>1290</v>
      </c>
    </row>
    <row r="350" spans="1:10" s="6" customFormat="1" ht="38.25" x14ac:dyDescent="0.2">
      <c r="A350" s="229"/>
      <c r="B350" s="40">
        <v>81</v>
      </c>
      <c r="C350" s="154" t="s">
        <v>1728</v>
      </c>
      <c r="D350" s="156" t="s">
        <v>1644</v>
      </c>
      <c r="E350" s="136" t="s">
        <v>2191</v>
      </c>
      <c r="F350" s="128"/>
      <c r="G350" s="128" t="s">
        <v>2283</v>
      </c>
      <c r="H350" s="136" t="s">
        <v>3506</v>
      </c>
      <c r="I350" s="129">
        <v>104053.85</v>
      </c>
      <c r="J350" s="157" t="s">
        <v>1290</v>
      </c>
    </row>
    <row r="351" spans="1:10" s="6" customFormat="1" ht="38.25" x14ac:dyDescent="0.2">
      <c r="A351" s="229"/>
      <c r="B351" s="128">
        <v>82</v>
      </c>
      <c r="C351" s="154" t="s">
        <v>307</v>
      </c>
      <c r="D351" s="156" t="s">
        <v>1644</v>
      </c>
      <c r="E351" s="136" t="s">
        <v>2194</v>
      </c>
      <c r="F351" s="128"/>
      <c r="G351" s="128" t="s">
        <v>2578</v>
      </c>
      <c r="H351" s="136" t="s">
        <v>3885</v>
      </c>
      <c r="I351" s="129">
        <v>1066.8</v>
      </c>
      <c r="J351" s="157" t="s">
        <v>1290</v>
      </c>
    </row>
    <row r="352" spans="1:10" s="6" customFormat="1" ht="38.25" x14ac:dyDescent="0.2">
      <c r="A352" s="229"/>
      <c r="B352" s="40">
        <v>83</v>
      </c>
      <c r="C352" s="154" t="s">
        <v>307</v>
      </c>
      <c r="D352" s="156" t="s">
        <v>4033</v>
      </c>
      <c r="E352" s="136" t="s">
        <v>2194</v>
      </c>
      <c r="F352" s="128"/>
      <c r="G352" s="128" t="s">
        <v>3477</v>
      </c>
      <c r="H352" s="136" t="s">
        <v>4034</v>
      </c>
      <c r="I352" s="129">
        <f>70*1.05</f>
        <v>73.5</v>
      </c>
      <c r="J352" s="157" t="s">
        <v>1290</v>
      </c>
    </row>
    <row r="353" spans="1:10" s="6" customFormat="1" ht="38.25" x14ac:dyDescent="0.2">
      <c r="A353" s="229"/>
      <c r="B353" s="128">
        <v>84</v>
      </c>
      <c r="C353" s="154" t="s">
        <v>45</v>
      </c>
      <c r="D353" s="156" t="s">
        <v>4033</v>
      </c>
      <c r="E353" s="136" t="s">
        <v>2192</v>
      </c>
      <c r="F353" s="128"/>
      <c r="G353" s="128" t="s">
        <v>3477</v>
      </c>
      <c r="H353" s="136" t="s">
        <v>4035</v>
      </c>
      <c r="I353" s="129">
        <f>874*1.05</f>
        <v>917.7</v>
      </c>
      <c r="J353" s="157" t="s">
        <v>1290</v>
      </c>
    </row>
    <row r="354" spans="1:10" s="6" customFormat="1" ht="38.25" x14ac:dyDescent="0.2">
      <c r="A354" s="230"/>
      <c r="B354" s="40">
        <v>85</v>
      </c>
      <c r="C354" s="154" t="s">
        <v>1728</v>
      </c>
      <c r="D354" s="156" t="s">
        <v>4033</v>
      </c>
      <c r="E354" s="136" t="s">
        <v>2191</v>
      </c>
      <c r="F354" s="128"/>
      <c r="G354" s="128" t="s">
        <v>3477</v>
      </c>
      <c r="H354" s="136" t="s">
        <v>4036</v>
      </c>
      <c r="I354" s="129">
        <f>12*1.05</f>
        <v>12.600000000000001</v>
      </c>
      <c r="J354" s="157" t="s">
        <v>1290</v>
      </c>
    </row>
    <row r="355" spans="1:10" s="6" customFormat="1" ht="38.25" x14ac:dyDescent="0.2">
      <c r="A355" s="218" t="s">
        <v>2282</v>
      </c>
      <c r="B355" s="40">
        <v>1</v>
      </c>
      <c r="C355" s="154" t="s">
        <v>45</v>
      </c>
      <c r="D355" s="165" t="s">
        <v>1731</v>
      </c>
      <c r="E355" s="104"/>
      <c r="F355" s="40"/>
      <c r="G355" s="40" t="s">
        <v>2283</v>
      </c>
      <c r="H355" s="136" t="s">
        <v>2284</v>
      </c>
      <c r="I355" s="114">
        <f>686.12*1.05</f>
        <v>720.42600000000004</v>
      </c>
      <c r="J355" s="40" t="s">
        <v>1290</v>
      </c>
    </row>
    <row r="356" spans="1:10" s="6" customFormat="1" ht="38.25" x14ac:dyDescent="0.2">
      <c r="A356" s="219"/>
      <c r="B356" s="40">
        <v>2</v>
      </c>
      <c r="C356" s="152" t="s">
        <v>148</v>
      </c>
      <c r="D356" s="165" t="s">
        <v>1731</v>
      </c>
      <c r="E356" s="104"/>
      <c r="F356" s="40"/>
      <c r="G356" s="40" t="s">
        <v>2283</v>
      </c>
      <c r="H356" s="136" t="s">
        <v>2313</v>
      </c>
      <c r="I356" s="114">
        <f>63.5*1.05</f>
        <v>66.674999999999997</v>
      </c>
      <c r="J356" s="40" t="s">
        <v>1290</v>
      </c>
    </row>
    <row r="357" spans="1:10" s="6" customFormat="1" ht="38.25" x14ac:dyDescent="0.2">
      <c r="A357" s="219"/>
      <c r="B357" s="40">
        <v>3</v>
      </c>
      <c r="C357" s="154" t="s">
        <v>1713</v>
      </c>
      <c r="D357" s="165" t="s">
        <v>1731</v>
      </c>
      <c r="E357" s="104"/>
      <c r="F357" s="40"/>
      <c r="G357" s="40" t="s">
        <v>2283</v>
      </c>
      <c r="H357" s="136" t="s">
        <v>2405</v>
      </c>
      <c r="I357" s="114">
        <f>260.56*1.05</f>
        <v>273.58800000000002</v>
      </c>
      <c r="J357" s="40" t="s">
        <v>1290</v>
      </c>
    </row>
    <row r="358" spans="1:10" s="6" customFormat="1" ht="38.25" x14ac:dyDescent="0.2">
      <c r="A358" s="219"/>
      <c r="B358" s="40">
        <v>4</v>
      </c>
      <c r="C358" s="154" t="s">
        <v>41</v>
      </c>
      <c r="D358" s="165" t="s">
        <v>1731</v>
      </c>
      <c r="E358" s="104"/>
      <c r="F358" s="40"/>
      <c r="G358" s="40" t="s">
        <v>2283</v>
      </c>
      <c r="H358" s="136" t="s">
        <v>2408</v>
      </c>
      <c r="I358" s="114">
        <f>370.3*1.05</f>
        <v>388.81500000000005</v>
      </c>
      <c r="J358" s="40" t="s">
        <v>1290</v>
      </c>
    </row>
    <row r="359" spans="1:10" s="6" customFormat="1" ht="51" x14ac:dyDescent="0.2">
      <c r="A359" s="219"/>
      <c r="B359" s="40">
        <v>5</v>
      </c>
      <c r="C359" s="152" t="s">
        <v>1728</v>
      </c>
      <c r="D359" s="156" t="s">
        <v>1641</v>
      </c>
      <c r="E359" s="104" t="s">
        <v>2478</v>
      </c>
      <c r="F359" s="40"/>
      <c r="G359" s="40" t="s">
        <v>2283</v>
      </c>
      <c r="H359" s="136" t="s">
        <v>2479</v>
      </c>
      <c r="I359" s="114">
        <v>74905.429999999993</v>
      </c>
      <c r="J359" s="40" t="s">
        <v>1290</v>
      </c>
    </row>
    <row r="360" spans="1:10" s="6" customFormat="1" ht="63.75" x14ac:dyDescent="0.2">
      <c r="A360" s="219"/>
      <c r="B360" s="40">
        <v>6</v>
      </c>
      <c r="C360" s="154" t="s">
        <v>45</v>
      </c>
      <c r="D360" s="156" t="s">
        <v>1641</v>
      </c>
      <c r="E360" s="104" t="s">
        <v>2480</v>
      </c>
      <c r="F360" s="40"/>
      <c r="G360" s="40" t="s">
        <v>2283</v>
      </c>
      <c r="H360" s="136" t="s">
        <v>2481</v>
      </c>
      <c r="I360" s="114">
        <v>144017.38</v>
      </c>
      <c r="J360" s="40" t="s">
        <v>1290</v>
      </c>
    </row>
    <row r="361" spans="1:10" s="6" customFormat="1" ht="38.25" x14ac:dyDescent="0.2">
      <c r="A361" s="219"/>
      <c r="B361" s="40">
        <v>7</v>
      </c>
      <c r="C361" s="154" t="s">
        <v>307</v>
      </c>
      <c r="D361" s="167" t="s">
        <v>1769</v>
      </c>
      <c r="E361" s="104" t="s">
        <v>2509</v>
      </c>
      <c r="F361" s="40"/>
      <c r="G361" s="40" t="s">
        <v>2510</v>
      </c>
      <c r="H361" s="136" t="s">
        <v>2511</v>
      </c>
      <c r="I361" s="114">
        <v>495.6</v>
      </c>
      <c r="J361" s="40" t="s">
        <v>1290</v>
      </c>
    </row>
    <row r="362" spans="1:10" s="6" customFormat="1" ht="38.25" x14ac:dyDescent="0.2">
      <c r="A362" s="219"/>
      <c r="B362" s="40">
        <v>8</v>
      </c>
      <c r="C362" s="152" t="s">
        <v>148</v>
      </c>
      <c r="D362" s="167" t="s">
        <v>1769</v>
      </c>
      <c r="E362" s="104" t="s">
        <v>2512</v>
      </c>
      <c r="F362" s="40"/>
      <c r="G362" s="40" t="s">
        <v>2283</v>
      </c>
      <c r="H362" s="136" t="s">
        <v>2513</v>
      </c>
      <c r="I362" s="114">
        <v>1764</v>
      </c>
      <c r="J362" s="40" t="s">
        <v>1290</v>
      </c>
    </row>
    <row r="363" spans="1:10" s="6" customFormat="1" ht="38.25" x14ac:dyDescent="0.2">
      <c r="A363" s="219"/>
      <c r="B363" s="40">
        <v>9</v>
      </c>
      <c r="C363" s="154" t="s">
        <v>45</v>
      </c>
      <c r="D363" s="167" t="s">
        <v>1769</v>
      </c>
      <c r="E363" s="104" t="s">
        <v>2514</v>
      </c>
      <c r="F363" s="40"/>
      <c r="G363" s="40" t="s">
        <v>2505</v>
      </c>
      <c r="H363" s="136" t="s">
        <v>2515</v>
      </c>
      <c r="I363" s="114">
        <v>105986.16</v>
      </c>
      <c r="J363" s="40" t="s">
        <v>1290</v>
      </c>
    </row>
    <row r="364" spans="1:10" s="6" customFormat="1" ht="38.25" x14ac:dyDescent="0.2">
      <c r="A364" s="219"/>
      <c r="B364" s="40">
        <v>10</v>
      </c>
      <c r="C364" s="152" t="s">
        <v>1728</v>
      </c>
      <c r="D364" s="167" t="s">
        <v>1769</v>
      </c>
      <c r="E364" s="104" t="s">
        <v>2516</v>
      </c>
      <c r="F364" s="40"/>
      <c r="G364" s="40" t="s">
        <v>2517</v>
      </c>
      <c r="H364" s="136" t="s">
        <v>2518</v>
      </c>
      <c r="I364" s="114">
        <v>105812.6</v>
      </c>
      <c r="J364" s="40" t="s">
        <v>1290</v>
      </c>
    </row>
    <row r="365" spans="1:10" s="6" customFormat="1" ht="38.25" x14ac:dyDescent="0.2">
      <c r="A365" s="219"/>
      <c r="B365" s="40">
        <v>11</v>
      </c>
      <c r="C365" s="154" t="s">
        <v>2519</v>
      </c>
      <c r="D365" s="167" t="s">
        <v>1769</v>
      </c>
      <c r="E365" s="104" t="s">
        <v>2520</v>
      </c>
      <c r="F365" s="40"/>
      <c r="G365" s="40" t="s">
        <v>2521</v>
      </c>
      <c r="H365" s="136" t="s">
        <v>2522</v>
      </c>
      <c r="I365" s="114">
        <v>33842.61</v>
      </c>
      <c r="J365" s="40" t="s">
        <v>1290</v>
      </c>
    </row>
    <row r="366" spans="1:10" s="6" customFormat="1" ht="38.25" x14ac:dyDescent="0.2">
      <c r="A366" s="219"/>
      <c r="B366" s="40">
        <v>12</v>
      </c>
      <c r="C366" s="154" t="s">
        <v>41</v>
      </c>
      <c r="D366" s="167" t="s">
        <v>1769</v>
      </c>
      <c r="E366" s="104" t="s">
        <v>2523</v>
      </c>
      <c r="F366" s="40"/>
      <c r="G366" s="40" t="s">
        <v>2524</v>
      </c>
      <c r="H366" s="136" t="s">
        <v>2525</v>
      </c>
      <c r="I366" s="114">
        <v>34770.75</v>
      </c>
      <c r="J366" s="40" t="s">
        <v>1290</v>
      </c>
    </row>
    <row r="367" spans="1:10" s="6" customFormat="1" ht="38.25" x14ac:dyDescent="0.2">
      <c r="A367" s="219"/>
      <c r="B367" s="40">
        <v>13</v>
      </c>
      <c r="C367" s="154" t="s">
        <v>45</v>
      </c>
      <c r="D367" s="156" t="s">
        <v>1692</v>
      </c>
      <c r="E367" s="104" t="s">
        <v>2538</v>
      </c>
      <c r="F367" s="40"/>
      <c r="G367" s="40" t="s">
        <v>2539</v>
      </c>
      <c r="H367" s="136" t="s">
        <v>2540</v>
      </c>
      <c r="I367" s="114">
        <v>34251.360000000001</v>
      </c>
      <c r="J367" s="40" t="s">
        <v>1290</v>
      </c>
    </row>
    <row r="368" spans="1:10" s="6" customFormat="1" ht="38.25" x14ac:dyDescent="0.2">
      <c r="A368" s="219"/>
      <c r="B368" s="40">
        <v>14</v>
      </c>
      <c r="C368" s="152" t="s">
        <v>1728</v>
      </c>
      <c r="D368" s="156" t="s">
        <v>1692</v>
      </c>
      <c r="E368" s="104" t="s">
        <v>2541</v>
      </c>
      <c r="F368" s="40"/>
      <c r="G368" s="40" t="s">
        <v>2539</v>
      </c>
      <c r="H368" s="136" t="s">
        <v>2542</v>
      </c>
      <c r="I368" s="114">
        <v>37838.85</v>
      </c>
      <c r="J368" s="40" t="s">
        <v>1290</v>
      </c>
    </row>
    <row r="369" spans="1:10" s="6" customFormat="1" ht="38.25" x14ac:dyDescent="0.2">
      <c r="A369" s="219"/>
      <c r="B369" s="40">
        <v>15</v>
      </c>
      <c r="C369" s="154" t="s">
        <v>2519</v>
      </c>
      <c r="D369" s="156" t="s">
        <v>1692</v>
      </c>
      <c r="E369" s="104" t="s">
        <v>2543</v>
      </c>
      <c r="F369" s="40"/>
      <c r="G369" s="40" t="s">
        <v>2539</v>
      </c>
      <c r="H369" s="136" t="s">
        <v>2544</v>
      </c>
      <c r="I369" s="114">
        <v>39005.879999999997</v>
      </c>
      <c r="J369" s="40" t="s">
        <v>1290</v>
      </c>
    </row>
    <row r="370" spans="1:10" s="6" customFormat="1" ht="38.25" x14ac:dyDescent="0.2">
      <c r="A370" s="219"/>
      <c r="B370" s="40">
        <v>16</v>
      </c>
      <c r="C370" s="154" t="s">
        <v>41</v>
      </c>
      <c r="D370" s="156" t="s">
        <v>1692</v>
      </c>
      <c r="E370" s="104" t="s">
        <v>2523</v>
      </c>
      <c r="F370" s="40"/>
      <c r="G370" s="40" t="s">
        <v>2539</v>
      </c>
      <c r="H370" s="136" t="s">
        <v>2545</v>
      </c>
      <c r="I370" s="114">
        <v>16465.05</v>
      </c>
      <c r="J370" s="40" t="s">
        <v>1290</v>
      </c>
    </row>
    <row r="371" spans="1:10" s="6" customFormat="1" ht="38.25" x14ac:dyDescent="0.2">
      <c r="A371" s="219"/>
      <c r="B371" s="40">
        <v>17</v>
      </c>
      <c r="C371" s="154" t="s">
        <v>307</v>
      </c>
      <c r="D371" s="156" t="s">
        <v>1692</v>
      </c>
      <c r="E371" s="104" t="s">
        <v>2546</v>
      </c>
      <c r="F371" s="40"/>
      <c r="G371" s="40" t="s">
        <v>2539</v>
      </c>
      <c r="H371" s="136" t="s">
        <v>2547</v>
      </c>
      <c r="I371" s="114">
        <v>168</v>
      </c>
      <c r="J371" s="40" t="s">
        <v>1290</v>
      </c>
    </row>
    <row r="372" spans="1:10" s="6" customFormat="1" ht="38.25" x14ac:dyDescent="0.2">
      <c r="A372" s="219"/>
      <c r="B372" s="40">
        <v>18</v>
      </c>
      <c r="C372" s="152" t="s">
        <v>148</v>
      </c>
      <c r="D372" s="156" t="s">
        <v>1692</v>
      </c>
      <c r="E372" s="104" t="s">
        <v>2548</v>
      </c>
      <c r="F372" s="40"/>
      <c r="G372" s="40" t="s">
        <v>2539</v>
      </c>
      <c r="H372" s="136" t="s">
        <v>2549</v>
      </c>
      <c r="I372" s="114">
        <v>889.87</v>
      </c>
      <c r="J372" s="40" t="s">
        <v>1290</v>
      </c>
    </row>
    <row r="373" spans="1:10" s="6" customFormat="1" ht="38.25" x14ac:dyDescent="0.2">
      <c r="A373" s="219"/>
      <c r="B373" s="40">
        <v>19</v>
      </c>
      <c r="C373" s="154" t="s">
        <v>45</v>
      </c>
      <c r="D373" s="156" t="s">
        <v>2154</v>
      </c>
      <c r="E373" s="104" t="s">
        <v>2599</v>
      </c>
      <c r="F373" s="40"/>
      <c r="G373" s="40" t="s">
        <v>2517</v>
      </c>
      <c r="H373" s="136" t="s">
        <v>2600</v>
      </c>
      <c r="I373" s="114">
        <f>211121.97*1.05</f>
        <v>221678.06850000002</v>
      </c>
      <c r="J373" s="40" t="s">
        <v>1290</v>
      </c>
    </row>
    <row r="374" spans="1:10" s="6" customFormat="1" ht="38.25" x14ac:dyDescent="0.2">
      <c r="A374" s="219"/>
      <c r="B374" s="40">
        <v>20</v>
      </c>
      <c r="C374" s="154" t="s">
        <v>41</v>
      </c>
      <c r="D374" s="156" t="s">
        <v>2154</v>
      </c>
      <c r="E374" s="104" t="s">
        <v>2601</v>
      </c>
      <c r="F374" s="40"/>
      <c r="G374" s="40" t="s">
        <v>2578</v>
      </c>
      <c r="H374" s="136" t="s">
        <v>2602</v>
      </c>
      <c r="I374" s="114">
        <f>17176.3*1.05</f>
        <v>18035.115000000002</v>
      </c>
      <c r="J374" s="40" t="s">
        <v>1290</v>
      </c>
    </row>
    <row r="375" spans="1:10" s="6" customFormat="1" ht="38.25" x14ac:dyDescent="0.2">
      <c r="A375" s="219"/>
      <c r="B375" s="40">
        <v>21</v>
      </c>
      <c r="C375" s="152" t="s">
        <v>1728</v>
      </c>
      <c r="D375" s="156" t="s">
        <v>2154</v>
      </c>
      <c r="E375" s="104" t="s">
        <v>2516</v>
      </c>
      <c r="F375" s="40"/>
      <c r="G375" s="40" t="s">
        <v>2386</v>
      </c>
      <c r="H375" s="136" t="s">
        <v>2603</v>
      </c>
      <c r="I375" s="114">
        <f>56309.5*1.05</f>
        <v>59124.975000000006</v>
      </c>
      <c r="J375" s="40" t="s">
        <v>1290</v>
      </c>
    </row>
    <row r="376" spans="1:10" s="6" customFormat="1" ht="38.25" x14ac:dyDescent="0.2">
      <c r="A376" s="219"/>
      <c r="B376" s="40">
        <v>22</v>
      </c>
      <c r="C376" s="154" t="s">
        <v>307</v>
      </c>
      <c r="D376" s="156" t="s">
        <v>2154</v>
      </c>
      <c r="E376" s="104" t="s">
        <v>2546</v>
      </c>
      <c r="F376" s="40"/>
      <c r="G376" s="40" t="s">
        <v>2604</v>
      </c>
      <c r="H376" s="136" t="s">
        <v>2605</v>
      </c>
      <c r="I376" s="114">
        <f>552*1.05</f>
        <v>579.6</v>
      </c>
      <c r="J376" s="40" t="s">
        <v>1290</v>
      </c>
    </row>
    <row r="377" spans="1:10" s="6" customFormat="1" ht="38.25" x14ac:dyDescent="0.2">
      <c r="A377" s="219"/>
      <c r="B377" s="40">
        <v>23</v>
      </c>
      <c r="C377" s="152" t="s">
        <v>148</v>
      </c>
      <c r="D377" s="156" t="s">
        <v>2154</v>
      </c>
      <c r="E377" s="104" t="s">
        <v>2512</v>
      </c>
      <c r="F377" s="40"/>
      <c r="G377" s="40" t="s">
        <v>2386</v>
      </c>
      <c r="H377" s="136" t="s">
        <v>2606</v>
      </c>
      <c r="I377" s="114">
        <f>1473*1.05</f>
        <v>1546.65</v>
      </c>
      <c r="J377" s="40" t="s">
        <v>1290</v>
      </c>
    </row>
    <row r="378" spans="1:10" s="6" customFormat="1" ht="38.25" x14ac:dyDescent="0.2">
      <c r="A378" s="219"/>
      <c r="B378" s="40">
        <v>24</v>
      </c>
      <c r="C378" s="154" t="s">
        <v>307</v>
      </c>
      <c r="D378" s="156" t="s">
        <v>1656</v>
      </c>
      <c r="E378" s="104">
        <v>143</v>
      </c>
      <c r="F378" s="40"/>
      <c r="G378" s="40" t="s">
        <v>2517</v>
      </c>
      <c r="H378" s="136" t="s">
        <v>2607</v>
      </c>
      <c r="I378" s="114">
        <v>504</v>
      </c>
      <c r="J378" s="40" t="s">
        <v>1290</v>
      </c>
    </row>
    <row r="379" spans="1:10" s="6" customFormat="1" ht="38.25" x14ac:dyDescent="0.2">
      <c r="A379" s="219"/>
      <c r="B379" s="40">
        <v>25</v>
      </c>
      <c r="C379" s="152" t="s">
        <v>1728</v>
      </c>
      <c r="D379" s="156" t="s">
        <v>1656</v>
      </c>
      <c r="E379" s="104" t="s">
        <v>2516</v>
      </c>
      <c r="F379" s="40"/>
      <c r="G379" s="40" t="s">
        <v>2567</v>
      </c>
      <c r="H379" s="136" t="s">
        <v>2608</v>
      </c>
      <c r="I379" s="114">
        <f>4813.2+8108.1</f>
        <v>12921.3</v>
      </c>
      <c r="J379" s="40" t="s">
        <v>1290</v>
      </c>
    </row>
    <row r="380" spans="1:10" s="6" customFormat="1" ht="38.25" x14ac:dyDescent="0.2">
      <c r="A380" s="219"/>
      <c r="B380" s="40">
        <v>26</v>
      </c>
      <c r="C380" s="154" t="s">
        <v>45</v>
      </c>
      <c r="D380" s="156" t="s">
        <v>1656</v>
      </c>
      <c r="E380" s="104" t="s">
        <v>2609</v>
      </c>
      <c r="F380" s="40"/>
      <c r="G380" s="40" t="s">
        <v>2567</v>
      </c>
      <c r="H380" s="136" t="s">
        <v>2610</v>
      </c>
      <c r="I380" s="114">
        <v>125329.89</v>
      </c>
      <c r="J380" s="40" t="s">
        <v>1290</v>
      </c>
    </row>
    <row r="381" spans="1:10" s="6" customFormat="1" ht="38.25" x14ac:dyDescent="0.2">
      <c r="A381" s="219"/>
      <c r="B381" s="40">
        <v>27</v>
      </c>
      <c r="C381" s="154" t="s">
        <v>41</v>
      </c>
      <c r="D381" s="156" t="s">
        <v>1656</v>
      </c>
      <c r="E381" s="104" t="s">
        <v>2523</v>
      </c>
      <c r="F381" s="40"/>
      <c r="G381" s="40" t="s">
        <v>2524</v>
      </c>
      <c r="H381" s="136" t="s">
        <v>2525</v>
      </c>
      <c r="I381" s="114">
        <v>18735.36</v>
      </c>
      <c r="J381" s="40" t="s">
        <v>1290</v>
      </c>
    </row>
    <row r="382" spans="1:10" s="6" customFormat="1" ht="38.25" x14ac:dyDescent="0.2">
      <c r="A382" s="219"/>
      <c r="B382" s="40">
        <v>28</v>
      </c>
      <c r="C382" s="152" t="s">
        <v>148</v>
      </c>
      <c r="D382" s="156" t="s">
        <v>1656</v>
      </c>
      <c r="E382" s="104" t="s">
        <v>2512</v>
      </c>
      <c r="F382" s="40"/>
      <c r="G382" s="40" t="s">
        <v>2567</v>
      </c>
      <c r="H382" s="136" t="s">
        <v>2611</v>
      </c>
      <c r="I382" s="114">
        <v>2646</v>
      </c>
      <c r="J382" s="40" t="s">
        <v>1290</v>
      </c>
    </row>
    <row r="383" spans="1:10" s="6" customFormat="1" ht="38.25" x14ac:dyDescent="0.2">
      <c r="A383" s="219"/>
      <c r="B383" s="40">
        <v>29</v>
      </c>
      <c r="C383" s="154" t="s">
        <v>2519</v>
      </c>
      <c r="D383" s="156" t="s">
        <v>1656</v>
      </c>
      <c r="E383" s="104" t="s">
        <v>2612</v>
      </c>
      <c r="F383" s="40"/>
      <c r="G383" s="40" t="s">
        <v>2517</v>
      </c>
      <c r="H383" s="136" t="s">
        <v>2613</v>
      </c>
      <c r="I383" s="114">
        <v>109743.69</v>
      </c>
      <c r="J383" s="40" t="s">
        <v>1290</v>
      </c>
    </row>
    <row r="384" spans="1:10" s="6" customFormat="1" ht="51" x14ac:dyDescent="0.2">
      <c r="A384" s="219"/>
      <c r="B384" s="40">
        <v>30</v>
      </c>
      <c r="C384" s="154" t="s">
        <v>307</v>
      </c>
      <c r="D384" s="156" t="s">
        <v>1641</v>
      </c>
      <c r="E384" s="104" t="s">
        <v>2546</v>
      </c>
      <c r="F384" s="40"/>
      <c r="G384" s="40" t="s">
        <v>2654</v>
      </c>
      <c r="H384" s="136" t="s">
        <v>2655</v>
      </c>
      <c r="I384" s="114">
        <v>474.6</v>
      </c>
      <c r="J384" s="40" t="s">
        <v>1290</v>
      </c>
    </row>
    <row r="385" spans="1:10" s="6" customFormat="1" ht="51" x14ac:dyDescent="0.2">
      <c r="A385" s="219"/>
      <c r="B385" s="40">
        <v>31</v>
      </c>
      <c r="C385" s="154" t="s">
        <v>41</v>
      </c>
      <c r="D385" s="156" t="s">
        <v>1641</v>
      </c>
      <c r="E385" s="104" t="s">
        <v>2656</v>
      </c>
      <c r="F385" s="40"/>
      <c r="G385" s="40" t="s">
        <v>2616</v>
      </c>
      <c r="H385" s="136" t="s">
        <v>2657</v>
      </c>
      <c r="I385" s="114">
        <v>28648.16</v>
      </c>
      <c r="J385" s="40" t="s">
        <v>1290</v>
      </c>
    </row>
    <row r="386" spans="1:10" s="6" customFormat="1" ht="38.25" x14ac:dyDescent="0.2">
      <c r="A386" s="219"/>
      <c r="B386" s="40">
        <v>32</v>
      </c>
      <c r="C386" s="152" t="s">
        <v>148</v>
      </c>
      <c r="D386" s="156" t="s">
        <v>1641</v>
      </c>
      <c r="E386" s="104" t="s">
        <v>2658</v>
      </c>
      <c r="F386" s="40"/>
      <c r="G386" s="40" t="s">
        <v>2616</v>
      </c>
      <c r="H386" s="136" t="s">
        <v>2659</v>
      </c>
      <c r="I386" s="114">
        <v>1154.48</v>
      </c>
      <c r="J386" s="40" t="s">
        <v>1290</v>
      </c>
    </row>
    <row r="387" spans="1:10" s="6" customFormat="1" ht="38.25" x14ac:dyDescent="0.2">
      <c r="A387" s="219"/>
      <c r="B387" s="40">
        <v>33</v>
      </c>
      <c r="C387" s="154" t="s">
        <v>45</v>
      </c>
      <c r="D387" s="156" t="s">
        <v>1618</v>
      </c>
      <c r="E387" s="104" t="s">
        <v>2717</v>
      </c>
      <c r="F387" s="40"/>
      <c r="G387" s="40" t="s">
        <v>2510</v>
      </c>
      <c r="H387" s="136" t="s">
        <v>2718</v>
      </c>
      <c r="I387" s="114">
        <f>599.76</f>
        <v>599.76</v>
      </c>
      <c r="J387" s="40" t="s">
        <v>1290</v>
      </c>
    </row>
    <row r="388" spans="1:10" s="6" customFormat="1" ht="38.25" x14ac:dyDescent="0.2">
      <c r="A388" s="219"/>
      <c r="B388" s="40">
        <v>34</v>
      </c>
      <c r="C388" s="154" t="s">
        <v>2519</v>
      </c>
      <c r="D388" s="156" t="s">
        <v>1618</v>
      </c>
      <c r="E388" s="104" t="s">
        <v>2719</v>
      </c>
      <c r="F388" s="40"/>
      <c r="G388" s="40" t="s">
        <v>2604</v>
      </c>
      <c r="H388" s="136" t="s">
        <v>2720</v>
      </c>
      <c r="I388" s="114">
        <f>15441.3+198.45+289.8+61152+22170.96</f>
        <v>99252.510000000009</v>
      </c>
      <c r="J388" s="40" t="s">
        <v>1290</v>
      </c>
    </row>
    <row r="389" spans="1:10" s="6" customFormat="1" ht="38.25" x14ac:dyDescent="0.2">
      <c r="A389" s="219"/>
      <c r="B389" s="40">
        <v>35</v>
      </c>
      <c r="C389" s="152" t="s">
        <v>148</v>
      </c>
      <c r="D389" s="156" t="s">
        <v>1618</v>
      </c>
      <c r="E389" s="104" t="s">
        <v>2658</v>
      </c>
      <c r="F389" s="40"/>
      <c r="G389" s="40" t="s">
        <v>2505</v>
      </c>
      <c r="H389" s="136" t="s">
        <v>2721</v>
      </c>
      <c r="I389" s="114">
        <f>1417.5+441</f>
        <v>1858.5</v>
      </c>
      <c r="J389" s="40" t="s">
        <v>1290</v>
      </c>
    </row>
    <row r="390" spans="1:10" s="6" customFormat="1" ht="38.25" x14ac:dyDescent="0.2">
      <c r="A390" s="219"/>
      <c r="B390" s="40">
        <v>36</v>
      </c>
      <c r="C390" s="154" t="s">
        <v>307</v>
      </c>
      <c r="D390" s="156" t="s">
        <v>1618</v>
      </c>
      <c r="E390" s="104" t="s">
        <v>2509</v>
      </c>
      <c r="F390" s="40"/>
      <c r="G390" s="40" t="s">
        <v>2517</v>
      </c>
      <c r="H390" s="136" t="s">
        <v>2607</v>
      </c>
      <c r="I390" s="114">
        <f>159.6+403.2</f>
        <v>562.79999999999995</v>
      </c>
      <c r="J390" s="40" t="s">
        <v>1290</v>
      </c>
    </row>
    <row r="391" spans="1:10" s="6" customFormat="1" ht="38.25" x14ac:dyDescent="0.2">
      <c r="A391" s="219"/>
      <c r="B391" s="40">
        <v>37</v>
      </c>
      <c r="C391" s="152" t="s">
        <v>1728</v>
      </c>
      <c r="D391" s="156" t="s">
        <v>1618</v>
      </c>
      <c r="E391" s="104" t="s">
        <v>2478</v>
      </c>
      <c r="F391" s="40"/>
      <c r="G391" s="40" t="s">
        <v>2505</v>
      </c>
      <c r="H391" s="136" t="s">
        <v>2722</v>
      </c>
      <c r="I391" s="114">
        <f>5099.85+34234.2+48132</f>
        <v>87466.049999999988</v>
      </c>
      <c r="J391" s="40" t="s">
        <v>1290</v>
      </c>
    </row>
    <row r="392" spans="1:10" s="6" customFormat="1" ht="38.25" x14ac:dyDescent="0.2">
      <c r="A392" s="219"/>
      <c r="B392" s="40">
        <v>38</v>
      </c>
      <c r="C392" s="154" t="s">
        <v>41</v>
      </c>
      <c r="D392" s="156" t="s">
        <v>1618</v>
      </c>
      <c r="E392" s="104" t="s">
        <v>2723</v>
      </c>
      <c r="F392" s="40"/>
      <c r="G392" s="40" t="s">
        <v>2524</v>
      </c>
      <c r="H392" s="136" t="s">
        <v>2525</v>
      </c>
      <c r="I392" s="114">
        <f>18921+3858.75+31105.2+74.34</f>
        <v>53959.289999999994</v>
      </c>
      <c r="J392" s="40" t="s">
        <v>1290</v>
      </c>
    </row>
    <row r="393" spans="1:10" s="6" customFormat="1" ht="63.75" x14ac:dyDescent="0.2">
      <c r="A393" s="219"/>
      <c r="B393" s="40">
        <v>39</v>
      </c>
      <c r="C393" s="154" t="s">
        <v>2519</v>
      </c>
      <c r="D393" s="156" t="s">
        <v>1641</v>
      </c>
      <c r="E393" s="104" t="s">
        <v>2735</v>
      </c>
      <c r="F393" s="40"/>
      <c r="G393" s="40" t="s">
        <v>2654</v>
      </c>
      <c r="H393" s="136" t="s">
        <v>2736</v>
      </c>
      <c r="I393" s="114">
        <v>50548.81</v>
      </c>
      <c r="J393" s="40" t="s">
        <v>1290</v>
      </c>
    </row>
    <row r="394" spans="1:10" s="6" customFormat="1" ht="38.25" x14ac:dyDescent="0.2">
      <c r="A394" s="219"/>
      <c r="B394" s="40">
        <v>40</v>
      </c>
      <c r="C394" s="152" t="s">
        <v>1728</v>
      </c>
      <c r="D394" s="153" t="s">
        <v>2352</v>
      </c>
      <c r="E394" s="104" t="s">
        <v>2478</v>
      </c>
      <c r="F394" s="40"/>
      <c r="G394" s="40" t="s">
        <v>2524</v>
      </c>
      <c r="H394" s="136" t="s">
        <v>2809</v>
      </c>
      <c r="I394" s="114">
        <v>45688.7</v>
      </c>
      <c r="J394" s="40" t="s">
        <v>1290</v>
      </c>
    </row>
    <row r="395" spans="1:10" s="6" customFormat="1" ht="38.25" x14ac:dyDescent="0.2">
      <c r="A395" s="219"/>
      <c r="B395" s="40">
        <v>41</v>
      </c>
      <c r="C395" s="152" t="s">
        <v>148</v>
      </c>
      <c r="D395" s="153" t="s">
        <v>2352</v>
      </c>
      <c r="E395" s="104" t="s">
        <v>2512</v>
      </c>
      <c r="F395" s="40"/>
      <c r="G395" s="40" t="s">
        <v>2551</v>
      </c>
      <c r="H395" s="136" t="s">
        <v>2810</v>
      </c>
      <c r="I395" s="114">
        <v>91.88</v>
      </c>
      <c r="J395" s="40" t="s">
        <v>1290</v>
      </c>
    </row>
    <row r="396" spans="1:10" s="6" customFormat="1" ht="38.25" x14ac:dyDescent="0.2">
      <c r="A396" s="219"/>
      <c r="B396" s="40">
        <v>42</v>
      </c>
      <c r="C396" s="154" t="s">
        <v>41</v>
      </c>
      <c r="D396" s="153" t="s">
        <v>2352</v>
      </c>
      <c r="E396" s="104" t="s">
        <v>2656</v>
      </c>
      <c r="F396" s="40"/>
      <c r="G396" s="40" t="s">
        <v>2661</v>
      </c>
      <c r="H396" s="136" t="s">
        <v>2811</v>
      </c>
      <c r="I396" s="114">
        <v>6657.28</v>
      </c>
      <c r="J396" s="40" t="s">
        <v>1290</v>
      </c>
    </row>
    <row r="397" spans="1:10" s="6" customFormat="1" ht="38.25" x14ac:dyDescent="0.2">
      <c r="A397" s="219"/>
      <c r="B397" s="40">
        <v>43</v>
      </c>
      <c r="C397" s="154" t="s">
        <v>45</v>
      </c>
      <c r="D397" s="153" t="s">
        <v>2352</v>
      </c>
      <c r="E397" s="104" t="s">
        <v>2538</v>
      </c>
      <c r="F397" s="40"/>
      <c r="G397" s="40" t="s">
        <v>2524</v>
      </c>
      <c r="H397" s="136" t="s">
        <v>2809</v>
      </c>
      <c r="I397" s="114">
        <v>13804.19</v>
      </c>
      <c r="J397" s="40" t="s">
        <v>1290</v>
      </c>
    </row>
    <row r="398" spans="1:10" s="6" customFormat="1" ht="38.25" x14ac:dyDescent="0.2">
      <c r="A398" s="219"/>
      <c r="B398" s="40">
        <v>44</v>
      </c>
      <c r="C398" s="154" t="s">
        <v>2519</v>
      </c>
      <c r="D398" s="153" t="s">
        <v>2352</v>
      </c>
      <c r="E398" s="104" t="s">
        <v>2735</v>
      </c>
      <c r="F398" s="40"/>
      <c r="G398" s="40" t="s">
        <v>2524</v>
      </c>
      <c r="H398" s="136" t="s">
        <v>2809</v>
      </c>
      <c r="I398" s="114">
        <v>19597.43</v>
      </c>
      <c r="J398" s="40" t="s">
        <v>1290</v>
      </c>
    </row>
    <row r="399" spans="1:10" s="6" customFormat="1" ht="38.25" x14ac:dyDescent="0.2">
      <c r="A399" s="219"/>
      <c r="B399" s="40">
        <v>45</v>
      </c>
      <c r="C399" s="154" t="s">
        <v>307</v>
      </c>
      <c r="D399" s="153" t="s">
        <v>2788</v>
      </c>
      <c r="E399" s="104" t="s">
        <v>2546</v>
      </c>
      <c r="F399" s="40"/>
      <c r="G399" s="40" t="s">
        <v>2636</v>
      </c>
      <c r="H399" s="136" t="s">
        <v>2852</v>
      </c>
      <c r="I399" s="114">
        <v>638.4</v>
      </c>
      <c r="J399" s="40" t="s">
        <v>1290</v>
      </c>
    </row>
    <row r="400" spans="1:10" s="6" customFormat="1" ht="38.25" x14ac:dyDescent="0.2">
      <c r="A400" s="219"/>
      <c r="B400" s="40">
        <v>46</v>
      </c>
      <c r="C400" s="152" t="s">
        <v>1728</v>
      </c>
      <c r="D400" s="153" t="s">
        <v>2788</v>
      </c>
      <c r="E400" s="104" t="s">
        <v>2853</v>
      </c>
      <c r="F400" s="40"/>
      <c r="G400" s="40" t="s">
        <v>2636</v>
      </c>
      <c r="H400" s="136" t="s">
        <v>2854</v>
      </c>
      <c r="I400" s="114">
        <v>116184.6</v>
      </c>
      <c r="J400" s="40" t="s">
        <v>1290</v>
      </c>
    </row>
    <row r="401" spans="1:10" s="6" customFormat="1" ht="38.25" x14ac:dyDescent="0.2">
      <c r="A401" s="219"/>
      <c r="B401" s="40">
        <v>47</v>
      </c>
      <c r="C401" s="154" t="s">
        <v>45</v>
      </c>
      <c r="D401" s="153" t="s">
        <v>2788</v>
      </c>
      <c r="E401" s="104" t="s">
        <v>2855</v>
      </c>
      <c r="F401" s="40"/>
      <c r="G401" s="40" t="s">
        <v>2636</v>
      </c>
      <c r="H401" s="136" t="s">
        <v>2856</v>
      </c>
      <c r="I401" s="114">
        <v>218417.64</v>
      </c>
      <c r="J401" s="40" t="s">
        <v>1290</v>
      </c>
    </row>
    <row r="402" spans="1:10" s="6" customFormat="1" ht="38.25" x14ac:dyDescent="0.2">
      <c r="A402" s="219"/>
      <c r="B402" s="40">
        <v>48</v>
      </c>
      <c r="C402" s="154" t="s">
        <v>41</v>
      </c>
      <c r="D402" s="153" t="s">
        <v>2788</v>
      </c>
      <c r="E402" s="104" t="s">
        <v>2857</v>
      </c>
      <c r="F402" s="40"/>
      <c r="G402" s="40" t="s">
        <v>2858</v>
      </c>
      <c r="H402" s="136" t="s">
        <v>2859</v>
      </c>
      <c r="I402" s="114">
        <v>47478.69</v>
      </c>
      <c r="J402" s="40" t="s">
        <v>1290</v>
      </c>
    </row>
    <row r="403" spans="1:10" s="6" customFormat="1" ht="38.25" x14ac:dyDescent="0.2">
      <c r="A403" s="219"/>
      <c r="B403" s="40">
        <v>49</v>
      </c>
      <c r="C403" s="152" t="s">
        <v>148</v>
      </c>
      <c r="D403" s="153" t="s">
        <v>2788</v>
      </c>
      <c r="E403" s="104" t="s">
        <v>2512</v>
      </c>
      <c r="F403" s="40"/>
      <c r="G403" s="40" t="s">
        <v>2858</v>
      </c>
      <c r="H403" s="136" t="s">
        <v>2860</v>
      </c>
      <c r="I403" s="114">
        <v>2858.63</v>
      </c>
      <c r="J403" s="40" t="s">
        <v>1290</v>
      </c>
    </row>
    <row r="404" spans="1:10" s="6" customFormat="1" ht="38.25" x14ac:dyDescent="0.2">
      <c r="A404" s="219"/>
      <c r="B404" s="40">
        <v>50</v>
      </c>
      <c r="C404" s="154" t="s">
        <v>2519</v>
      </c>
      <c r="D404" s="153" t="s">
        <v>2788</v>
      </c>
      <c r="E404" s="104" t="s">
        <v>2861</v>
      </c>
      <c r="F404" s="40"/>
      <c r="G404" s="40" t="s">
        <v>2825</v>
      </c>
      <c r="H404" s="136" t="s">
        <v>2862</v>
      </c>
      <c r="I404" s="114">
        <v>146265.21</v>
      </c>
      <c r="J404" s="40" t="s">
        <v>1290</v>
      </c>
    </row>
    <row r="405" spans="1:10" s="6" customFormat="1" ht="38.25" x14ac:dyDescent="0.2">
      <c r="A405" s="219"/>
      <c r="B405" s="40">
        <v>51</v>
      </c>
      <c r="C405" s="154" t="s">
        <v>45</v>
      </c>
      <c r="D405" s="153" t="s">
        <v>2560</v>
      </c>
      <c r="E405" s="104" t="s">
        <v>2955</v>
      </c>
      <c r="F405" s="40"/>
      <c r="G405" s="40" t="s">
        <v>2956</v>
      </c>
      <c r="H405" s="136" t="s">
        <v>2957</v>
      </c>
      <c r="I405" s="114">
        <f>1039.5+107.73+27867.84+1315.94+35599.41</f>
        <v>65930.42</v>
      </c>
      <c r="J405" s="40" t="s">
        <v>1290</v>
      </c>
    </row>
    <row r="406" spans="1:10" s="6" customFormat="1" ht="38.25" x14ac:dyDescent="0.2">
      <c r="A406" s="219"/>
      <c r="B406" s="40">
        <v>52</v>
      </c>
      <c r="C406" s="154" t="s">
        <v>2519</v>
      </c>
      <c r="D406" s="153" t="s">
        <v>2383</v>
      </c>
      <c r="E406" s="104" t="s">
        <v>3324</v>
      </c>
      <c r="F406" s="40"/>
      <c r="G406" s="40" t="s">
        <v>2879</v>
      </c>
      <c r="H406" s="136" t="s">
        <v>3325</v>
      </c>
      <c r="I406" s="114">
        <v>2525.38</v>
      </c>
      <c r="J406" s="40" t="s">
        <v>1290</v>
      </c>
    </row>
    <row r="407" spans="1:10" s="6" customFormat="1" ht="38.25" x14ac:dyDescent="0.2">
      <c r="A407" s="219"/>
      <c r="B407" s="40">
        <v>53</v>
      </c>
      <c r="C407" s="154" t="s">
        <v>45</v>
      </c>
      <c r="D407" s="153" t="s">
        <v>2383</v>
      </c>
      <c r="E407" s="104" t="s">
        <v>3326</v>
      </c>
      <c r="F407" s="40"/>
      <c r="G407" s="40" t="s">
        <v>3327</v>
      </c>
      <c r="H407" s="136" t="s">
        <v>3328</v>
      </c>
      <c r="I407" s="114">
        <v>10754.12</v>
      </c>
      <c r="J407" s="40" t="s">
        <v>1290</v>
      </c>
    </row>
    <row r="408" spans="1:10" s="6" customFormat="1" ht="38.25" x14ac:dyDescent="0.2">
      <c r="A408" s="219"/>
      <c r="B408" s="40">
        <v>54</v>
      </c>
      <c r="C408" s="154" t="s">
        <v>41</v>
      </c>
      <c r="D408" s="153" t="s">
        <v>2383</v>
      </c>
      <c r="E408" s="104" t="s">
        <v>2601</v>
      </c>
      <c r="F408" s="40"/>
      <c r="G408" s="40" t="s">
        <v>2661</v>
      </c>
      <c r="H408" s="136" t="s">
        <v>3329</v>
      </c>
      <c r="I408" s="114">
        <v>21992.04</v>
      </c>
      <c r="J408" s="40" t="s">
        <v>1290</v>
      </c>
    </row>
    <row r="409" spans="1:10" s="6" customFormat="1" ht="38.25" x14ac:dyDescent="0.2">
      <c r="A409" s="219"/>
      <c r="B409" s="40">
        <v>55</v>
      </c>
      <c r="C409" s="152" t="s">
        <v>1728</v>
      </c>
      <c r="D409" s="153" t="s">
        <v>2383</v>
      </c>
      <c r="E409" s="104">
        <v>159</v>
      </c>
      <c r="F409" s="40"/>
      <c r="G409" s="40" t="s">
        <v>2636</v>
      </c>
      <c r="H409" s="136" t="s">
        <v>3330</v>
      </c>
      <c r="I409" s="114">
        <v>3810.45</v>
      </c>
      <c r="J409" s="40" t="s">
        <v>1290</v>
      </c>
    </row>
    <row r="410" spans="1:10" s="6" customFormat="1" ht="38.25" x14ac:dyDescent="0.2">
      <c r="A410" s="219"/>
      <c r="B410" s="40">
        <v>56</v>
      </c>
      <c r="C410" s="152" t="s">
        <v>148</v>
      </c>
      <c r="D410" s="153" t="s">
        <v>2383</v>
      </c>
      <c r="E410" s="104"/>
      <c r="F410" s="40"/>
      <c r="G410" s="40" t="s">
        <v>2578</v>
      </c>
      <c r="H410" s="136" t="s">
        <v>3331</v>
      </c>
      <c r="I410" s="114">
        <v>1820.7</v>
      </c>
      <c r="J410" s="40" t="s">
        <v>1290</v>
      </c>
    </row>
    <row r="411" spans="1:10" s="6" customFormat="1" ht="38.25" x14ac:dyDescent="0.2">
      <c r="A411" s="219"/>
      <c r="B411" s="40">
        <v>57</v>
      </c>
      <c r="C411" s="154" t="s">
        <v>307</v>
      </c>
      <c r="D411" s="153" t="s">
        <v>2383</v>
      </c>
      <c r="E411" s="104" t="s">
        <v>3332</v>
      </c>
      <c r="F411" s="40"/>
      <c r="G411" s="40" t="s">
        <v>2636</v>
      </c>
      <c r="H411" s="136" t="s">
        <v>3333</v>
      </c>
      <c r="I411" s="114">
        <v>302.39999999999998</v>
      </c>
      <c r="J411" s="40" t="s">
        <v>1290</v>
      </c>
    </row>
    <row r="412" spans="1:10" s="6" customFormat="1" ht="38.25" x14ac:dyDescent="0.2">
      <c r="A412" s="219"/>
      <c r="B412" s="40">
        <v>58</v>
      </c>
      <c r="C412" s="154" t="s">
        <v>2519</v>
      </c>
      <c r="D412" s="153" t="s">
        <v>2154</v>
      </c>
      <c r="E412" s="104" t="s">
        <v>3494</v>
      </c>
      <c r="F412" s="40"/>
      <c r="G412" s="40" t="s">
        <v>2524</v>
      </c>
      <c r="H412" s="136" t="s">
        <v>3495</v>
      </c>
      <c r="I412" s="114">
        <f>(669.9+189+58.88+2124.24)*1.05</f>
        <v>3194.1209999999996</v>
      </c>
      <c r="J412" s="40" t="s">
        <v>1290</v>
      </c>
    </row>
    <row r="413" spans="1:10" s="6" customFormat="1" ht="38.25" x14ac:dyDescent="0.2">
      <c r="A413" s="219"/>
      <c r="B413" s="40">
        <v>59</v>
      </c>
      <c r="C413" s="154" t="s">
        <v>2519</v>
      </c>
      <c r="D413" s="153" t="s">
        <v>2554</v>
      </c>
      <c r="E413" s="104" t="s">
        <v>2543</v>
      </c>
      <c r="F413" s="40"/>
      <c r="G413" s="40" t="s">
        <v>2654</v>
      </c>
      <c r="H413" s="136" t="s">
        <v>3496</v>
      </c>
      <c r="I413" s="114">
        <v>140211.25</v>
      </c>
      <c r="J413" s="40" t="s">
        <v>1290</v>
      </c>
    </row>
    <row r="414" spans="1:10" s="6" customFormat="1" ht="38.25" x14ac:dyDescent="0.2">
      <c r="A414" s="219"/>
      <c r="B414" s="40">
        <v>60</v>
      </c>
      <c r="C414" s="154" t="s">
        <v>45</v>
      </c>
      <c r="D414" s="153" t="s">
        <v>2554</v>
      </c>
      <c r="E414" s="104" t="s">
        <v>3497</v>
      </c>
      <c r="F414" s="40"/>
      <c r="G414" s="40" t="s">
        <v>2517</v>
      </c>
      <c r="H414" s="136" t="s">
        <v>3498</v>
      </c>
      <c r="I414" s="114">
        <v>130496.11</v>
      </c>
      <c r="J414" s="40" t="s">
        <v>1290</v>
      </c>
    </row>
    <row r="415" spans="1:10" s="6" customFormat="1" ht="38.25" x14ac:dyDescent="0.2">
      <c r="A415" s="219"/>
      <c r="B415" s="40">
        <v>61</v>
      </c>
      <c r="C415" s="152" t="s">
        <v>1728</v>
      </c>
      <c r="D415" s="153" t="s">
        <v>2554</v>
      </c>
      <c r="E415" s="104" t="s">
        <v>2478</v>
      </c>
      <c r="F415" s="40"/>
      <c r="G415" s="40" t="s">
        <v>2517</v>
      </c>
      <c r="H415" s="136" t="s">
        <v>2518</v>
      </c>
      <c r="I415" s="114">
        <v>165655.76999999999</v>
      </c>
      <c r="J415" s="40" t="s">
        <v>1290</v>
      </c>
    </row>
    <row r="416" spans="1:10" s="6" customFormat="1" ht="38.25" x14ac:dyDescent="0.2">
      <c r="A416" s="219"/>
      <c r="B416" s="40">
        <v>62</v>
      </c>
      <c r="C416" s="154" t="s">
        <v>307</v>
      </c>
      <c r="D416" s="153" t="s">
        <v>2554</v>
      </c>
      <c r="E416" s="104" t="s">
        <v>3499</v>
      </c>
      <c r="F416" s="40"/>
      <c r="G416" s="40" t="s">
        <v>2654</v>
      </c>
      <c r="H416" s="136" t="s">
        <v>3500</v>
      </c>
      <c r="I416" s="114">
        <v>310.8</v>
      </c>
      <c r="J416" s="40" t="s">
        <v>1290</v>
      </c>
    </row>
    <row r="417" spans="1:10" s="6" customFormat="1" ht="38.25" x14ac:dyDescent="0.2">
      <c r="A417" s="219"/>
      <c r="B417" s="40">
        <v>63</v>
      </c>
      <c r="C417" s="154" t="s">
        <v>41</v>
      </c>
      <c r="D417" s="153" t="s">
        <v>2554</v>
      </c>
      <c r="E417" s="104" t="s">
        <v>2523</v>
      </c>
      <c r="F417" s="40"/>
      <c r="G417" s="40" t="s">
        <v>2578</v>
      </c>
      <c r="H417" s="136" t="s">
        <v>2602</v>
      </c>
      <c r="I417" s="114">
        <v>56000.91</v>
      </c>
      <c r="J417" s="40" t="s">
        <v>1290</v>
      </c>
    </row>
    <row r="418" spans="1:10" s="6" customFormat="1" ht="38.25" x14ac:dyDescent="0.2">
      <c r="A418" s="219"/>
      <c r="B418" s="40">
        <v>64</v>
      </c>
      <c r="C418" s="152" t="s">
        <v>148</v>
      </c>
      <c r="D418" s="153" t="s">
        <v>2554</v>
      </c>
      <c r="E418" s="104" t="s">
        <v>2512</v>
      </c>
      <c r="F418" s="40"/>
      <c r="G418" s="40" t="s">
        <v>2551</v>
      </c>
      <c r="H418" s="136" t="s">
        <v>3501</v>
      </c>
      <c r="I418" s="114">
        <v>1449</v>
      </c>
      <c r="J418" s="40" t="s">
        <v>1290</v>
      </c>
    </row>
    <row r="419" spans="1:10" s="6" customFormat="1" ht="38.25" x14ac:dyDescent="0.2">
      <c r="A419" s="219"/>
      <c r="B419" s="40">
        <v>65</v>
      </c>
      <c r="C419" s="154" t="s">
        <v>45</v>
      </c>
      <c r="D419" s="153" t="s">
        <v>1625</v>
      </c>
      <c r="E419" s="104" t="s">
        <v>3497</v>
      </c>
      <c r="F419" s="40"/>
      <c r="G419" s="40" t="s">
        <v>3248</v>
      </c>
      <c r="H419" s="136" t="s">
        <v>3699</v>
      </c>
      <c r="I419" s="114">
        <f>1392.3+4932.9+3045+5093.55+8523.9+242.55+1190.7+151275.6+528.73+151586.8</f>
        <v>327812.03000000003</v>
      </c>
      <c r="J419" s="40" t="s">
        <v>1290</v>
      </c>
    </row>
    <row r="420" spans="1:10" s="6" customFormat="1" ht="38.25" x14ac:dyDescent="0.2">
      <c r="A420" s="219"/>
      <c r="B420" s="40">
        <v>66</v>
      </c>
      <c r="C420" s="154" t="s">
        <v>2519</v>
      </c>
      <c r="D420" s="153" t="s">
        <v>2142</v>
      </c>
      <c r="E420" s="104" t="s">
        <v>2612</v>
      </c>
      <c r="F420" s="40"/>
      <c r="G420" s="40" t="s">
        <v>2283</v>
      </c>
      <c r="H420" s="136" t="s">
        <v>3755</v>
      </c>
      <c r="I420" s="114">
        <v>128326.8</v>
      </c>
      <c r="J420" s="40" t="s">
        <v>1290</v>
      </c>
    </row>
    <row r="421" spans="1:10" s="6" customFormat="1" ht="38.25" x14ac:dyDescent="0.2">
      <c r="A421" s="219"/>
      <c r="B421" s="40">
        <v>67</v>
      </c>
      <c r="C421" s="154" t="s">
        <v>2519</v>
      </c>
      <c r="D421" s="153" t="s">
        <v>1625</v>
      </c>
      <c r="E421" s="104" t="s">
        <v>2735</v>
      </c>
      <c r="F421" s="40"/>
      <c r="G421" s="40" t="s">
        <v>3694</v>
      </c>
      <c r="H421" s="136" t="s">
        <v>3775</v>
      </c>
      <c r="I421" s="114">
        <f>2009.7+34142.43+21168+651+6762+6552+35163.01+721.88+7343.28</f>
        <v>114513.30000000002</v>
      </c>
      <c r="J421" s="40" t="s">
        <v>1290</v>
      </c>
    </row>
    <row r="422" spans="1:10" s="6" customFormat="1" ht="38.25" x14ac:dyDescent="0.2">
      <c r="A422" s="219"/>
      <c r="B422" s="40">
        <v>68</v>
      </c>
      <c r="C422" s="154" t="s">
        <v>41</v>
      </c>
      <c r="D422" s="153" t="s">
        <v>1625</v>
      </c>
      <c r="E422" s="104" t="s">
        <v>2723</v>
      </c>
      <c r="F422" s="40"/>
      <c r="G422" s="40" t="s">
        <v>3694</v>
      </c>
      <c r="H422" s="136" t="s">
        <v>3776</v>
      </c>
      <c r="I422" s="114">
        <f>433.65+24971.1+330.75+18364.5</f>
        <v>44100</v>
      </c>
      <c r="J422" s="40" t="s">
        <v>1290</v>
      </c>
    </row>
    <row r="423" spans="1:10" s="6" customFormat="1" ht="38.25" x14ac:dyDescent="0.2">
      <c r="A423" s="219"/>
      <c r="B423" s="40">
        <v>69</v>
      </c>
      <c r="C423" s="152" t="s">
        <v>1728</v>
      </c>
      <c r="D423" s="153" t="s">
        <v>1625</v>
      </c>
      <c r="E423" s="104" t="s">
        <v>2541</v>
      </c>
      <c r="F423" s="40"/>
      <c r="G423" s="40" t="s">
        <v>3251</v>
      </c>
      <c r="H423" s="136" t="s">
        <v>3777</v>
      </c>
      <c r="I423" s="114">
        <f>4305.42+76497.75+147297.15+117562.41</f>
        <v>345662.73</v>
      </c>
      <c r="J423" s="40" t="s">
        <v>1290</v>
      </c>
    </row>
    <row r="424" spans="1:10" s="6" customFormat="1" ht="38.25" x14ac:dyDescent="0.2">
      <c r="A424" s="219"/>
      <c r="B424" s="40">
        <v>70</v>
      </c>
      <c r="C424" s="152" t="s">
        <v>148</v>
      </c>
      <c r="D424" s="153" t="s">
        <v>1625</v>
      </c>
      <c r="E424" s="104" t="s">
        <v>3778</v>
      </c>
      <c r="F424" s="40"/>
      <c r="G424" s="40" t="s">
        <v>3722</v>
      </c>
      <c r="H424" s="136" t="s">
        <v>3779</v>
      </c>
      <c r="I424" s="114">
        <f>126+945</f>
        <v>1071</v>
      </c>
      <c r="J424" s="40" t="s">
        <v>1290</v>
      </c>
    </row>
    <row r="425" spans="1:10" s="6" customFormat="1" ht="38.25" x14ac:dyDescent="0.2">
      <c r="A425" s="219"/>
      <c r="B425" s="40">
        <v>71</v>
      </c>
      <c r="C425" s="154" t="s">
        <v>307</v>
      </c>
      <c r="D425" s="153" t="s">
        <v>1625</v>
      </c>
      <c r="E425" s="104" t="s">
        <v>2509</v>
      </c>
      <c r="F425" s="40"/>
      <c r="G425" s="40" t="s">
        <v>3477</v>
      </c>
      <c r="H425" s="136" t="s">
        <v>3780</v>
      </c>
      <c r="I425" s="114">
        <f>42+781.2</f>
        <v>823.2</v>
      </c>
      <c r="J425" s="40" t="s">
        <v>1290</v>
      </c>
    </row>
    <row r="426" spans="1:10" s="6" customFormat="1" ht="38.25" x14ac:dyDescent="0.2">
      <c r="A426" s="219"/>
      <c r="B426" s="40">
        <v>72</v>
      </c>
      <c r="C426" s="154" t="s">
        <v>41</v>
      </c>
      <c r="D426" s="153" t="s">
        <v>2259</v>
      </c>
      <c r="E426" s="104" t="s">
        <v>2656</v>
      </c>
      <c r="F426" s="40"/>
      <c r="G426" s="40" t="s">
        <v>2551</v>
      </c>
      <c r="H426" s="136" t="s">
        <v>3845</v>
      </c>
      <c r="I426" s="114">
        <v>5943</v>
      </c>
      <c r="J426" s="40" t="s">
        <v>1290</v>
      </c>
    </row>
    <row r="427" spans="1:10" s="6" customFormat="1" ht="38.25" x14ac:dyDescent="0.2">
      <c r="A427" s="219"/>
      <c r="B427" s="40">
        <v>73</v>
      </c>
      <c r="C427" s="152" t="s">
        <v>1728</v>
      </c>
      <c r="D427" s="153" t="s">
        <v>2259</v>
      </c>
      <c r="E427" s="104" t="s">
        <v>2541</v>
      </c>
      <c r="F427" s="40"/>
      <c r="G427" s="40" t="s">
        <v>2389</v>
      </c>
      <c r="H427" s="136" t="s">
        <v>3846</v>
      </c>
      <c r="I427" s="114">
        <v>13513.5</v>
      </c>
      <c r="J427" s="40" t="s">
        <v>1290</v>
      </c>
    </row>
    <row r="428" spans="1:10" s="6" customFormat="1" ht="38.25" x14ac:dyDescent="0.2">
      <c r="A428" s="219"/>
      <c r="B428" s="40">
        <v>74</v>
      </c>
      <c r="C428" s="154" t="s">
        <v>2519</v>
      </c>
      <c r="D428" s="153" t="s">
        <v>2259</v>
      </c>
      <c r="E428" s="104" t="s">
        <v>2735</v>
      </c>
      <c r="F428" s="40"/>
      <c r="G428" s="40" t="s">
        <v>2521</v>
      </c>
      <c r="H428" s="136" t="s">
        <v>2522</v>
      </c>
      <c r="I428" s="114">
        <v>17129.490000000002</v>
      </c>
      <c r="J428" s="40" t="s">
        <v>1290</v>
      </c>
    </row>
    <row r="429" spans="1:10" s="6" customFormat="1" ht="38.25" x14ac:dyDescent="0.2">
      <c r="A429" s="219"/>
      <c r="B429" s="40">
        <v>75</v>
      </c>
      <c r="C429" s="154" t="s">
        <v>45</v>
      </c>
      <c r="D429" s="153" t="s">
        <v>2259</v>
      </c>
      <c r="E429" s="104" t="s">
        <v>2538</v>
      </c>
      <c r="F429" s="40"/>
      <c r="G429" s="40" t="s">
        <v>2505</v>
      </c>
      <c r="H429" s="136" t="s">
        <v>2515</v>
      </c>
      <c r="I429" s="114">
        <v>28171.5</v>
      </c>
      <c r="J429" s="40" t="s">
        <v>1290</v>
      </c>
    </row>
    <row r="430" spans="1:10" s="6" customFormat="1" ht="38.25" x14ac:dyDescent="0.2">
      <c r="A430" s="219"/>
      <c r="B430" s="40">
        <v>76</v>
      </c>
      <c r="C430" s="152" t="s">
        <v>1728</v>
      </c>
      <c r="D430" s="153" t="s">
        <v>1731</v>
      </c>
      <c r="E430" s="104"/>
      <c r="F430" s="40"/>
      <c r="G430" s="40" t="s">
        <v>3647</v>
      </c>
      <c r="H430" s="136" t="s">
        <v>3774</v>
      </c>
      <c r="I430" s="114">
        <f>38863.64*1.05</f>
        <v>40806.822</v>
      </c>
      <c r="J430" s="40" t="s">
        <v>1290</v>
      </c>
    </row>
    <row r="431" spans="1:10" s="6" customFormat="1" ht="38.25" x14ac:dyDescent="0.2">
      <c r="A431" s="219"/>
      <c r="B431" s="40">
        <v>77</v>
      </c>
      <c r="C431" s="152" t="s">
        <v>1728</v>
      </c>
      <c r="D431" s="153" t="s">
        <v>2142</v>
      </c>
      <c r="E431" s="104" t="s">
        <v>3886</v>
      </c>
      <c r="F431" s="40"/>
      <c r="G431" s="40" t="s">
        <v>2283</v>
      </c>
      <c r="H431" s="136" t="s">
        <v>3887</v>
      </c>
      <c r="I431" s="114">
        <v>82309.5</v>
      </c>
      <c r="J431" s="40" t="s">
        <v>1290</v>
      </c>
    </row>
    <row r="432" spans="1:10" s="6" customFormat="1" ht="38.25" x14ac:dyDescent="0.2">
      <c r="A432" s="219"/>
      <c r="B432" s="40">
        <v>78</v>
      </c>
      <c r="C432" s="154" t="s">
        <v>307</v>
      </c>
      <c r="D432" s="153" t="s">
        <v>2142</v>
      </c>
      <c r="E432" s="104" t="s">
        <v>3888</v>
      </c>
      <c r="F432" s="40"/>
      <c r="G432" s="40" t="s">
        <v>2283</v>
      </c>
      <c r="H432" s="136" t="s">
        <v>3889</v>
      </c>
      <c r="I432" s="114">
        <v>315</v>
      </c>
      <c r="J432" s="40" t="s">
        <v>1290</v>
      </c>
    </row>
    <row r="433" spans="1:10" s="6" customFormat="1" ht="38.25" x14ac:dyDescent="0.2">
      <c r="A433" s="219"/>
      <c r="B433" s="40">
        <v>79</v>
      </c>
      <c r="C433" s="152" t="s">
        <v>148</v>
      </c>
      <c r="D433" s="153" t="s">
        <v>2142</v>
      </c>
      <c r="E433" s="104" t="s">
        <v>3778</v>
      </c>
      <c r="F433" s="40"/>
      <c r="G433" s="40" t="s">
        <v>2283</v>
      </c>
      <c r="H433" s="136" t="s">
        <v>2513</v>
      </c>
      <c r="I433" s="114">
        <v>283.5</v>
      </c>
      <c r="J433" s="40" t="s">
        <v>1290</v>
      </c>
    </row>
    <row r="434" spans="1:10" s="6" customFormat="1" ht="38.25" x14ac:dyDescent="0.2">
      <c r="A434" s="219"/>
      <c r="B434" s="40">
        <v>80</v>
      </c>
      <c r="C434" s="154" t="s">
        <v>45</v>
      </c>
      <c r="D434" s="153" t="s">
        <v>2142</v>
      </c>
      <c r="E434" s="104" t="s">
        <v>3890</v>
      </c>
      <c r="F434" s="40"/>
      <c r="G434" s="40" t="s">
        <v>2283</v>
      </c>
      <c r="H434" s="136" t="s">
        <v>3891</v>
      </c>
      <c r="I434" s="114">
        <v>76880.899999999994</v>
      </c>
      <c r="J434" s="40" t="s">
        <v>1290</v>
      </c>
    </row>
    <row r="435" spans="1:10" s="6" customFormat="1" ht="38.25" x14ac:dyDescent="0.2">
      <c r="A435" s="219"/>
      <c r="B435" s="40">
        <v>81</v>
      </c>
      <c r="C435" s="154" t="s">
        <v>41</v>
      </c>
      <c r="D435" s="153" t="s">
        <v>2142</v>
      </c>
      <c r="E435" s="104" t="s">
        <v>2523</v>
      </c>
      <c r="F435" s="40"/>
      <c r="G435" s="40" t="s">
        <v>2283</v>
      </c>
      <c r="H435" s="136" t="s">
        <v>3892</v>
      </c>
      <c r="I435" s="114">
        <v>19349.400000000001</v>
      </c>
      <c r="J435" s="40" t="s">
        <v>1290</v>
      </c>
    </row>
    <row r="436" spans="1:10" s="6" customFormat="1" ht="38.25" x14ac:dyDescent="0.2">
      <c r="A436" s="219"/>
      <c r="B436" s="40">
        <v>82</v>
      </c>
      <c r="C436" s="154" t="s">
        <v>41</v>
      </c>
      <c r="D436" s="156" t="s">
        <v>1644</v>
      </c>
      <c r="E436" s="104" t="s">
        <v>2656</v>
      </c>
      <c r="F436" s="40"/>
      <c r="G436" s="40" t="s">
        <v>2636</v>
      </c>
      <c r="H436" s="136" t="s">
        <v>3946</v>
      </c>
      <c r="I436" s="114">
        <v>48499.5</v>
      </c>
      <c r="J436" s="40" t="s">
        <v>1290</v>
      </c>
    </row>
    <row r="437" spans="1:10" s="6" customFormat="1" ht="38.25" x14ac:dyDescent="0.2">
      <c r="A437" s="219"/>
      <c r="B437" s="40">
        <v>83</v>
      </c>
      <c r="C437" s="154" t="s">
        <v>45</v>
      </c>
      <c r="D437" s="156" t="s">
        <v>1644</v>
      </c>
      <c r="E437" s="104" t="s">
        <v>2538</v>
      </c>
      <c r="F437" s="40"/>
      <c r="G437" s="40" t="s">
        <v>2551</v>
      </c>
      <c r="H437" s="136" t="s">
        <v>3947</v>
      </c>
      <c r="I437" s="114">
        <v>262485.40999999997</v>
      </c>
      <c r="J437" s="40" t="s">
        <v>1290</v>
      </c>
    </row>
    <row r="438" spans="1:10" s="6" customFormat="1" ht="38.25" x14ac:dyDescent="0.2">
      <c r="A438" s="219"/>
      <c r="B438" s="40">
        <v>84</v>
      </c>
      <c r="C438" s="154" t="s">
        <v>2519</v>
      </c>
      <c r="D438" s="156" t="s">
        <v>1644</v>
      </c>
      <c r="E438" s="104" t="s">
        <v>2735</v>
      </c>
      <c r="F438" s="40"/>
      <c r="G438" s="40" t="s">
        <v>2551</v>
      </c>
      <c r="H438" s="136" t="s">
        <v>3948</v>
      </c>
      <c r="I438" s="114">
        <v>122321.83</v>
      </c>
      <c r="J438" s="40" t="s">
        <v>1290</v>
      </c>
    </row>
    <row r="439" spans="1:10" s="6" customFormat="1" ht="38.25" x14ac:dyDescent="0.2">
      <c r="A439" s="219"/>
      <c r="B439" s="40">
        <v>85</v>
      </c>
      <c r="C439" s="152" t="s">
        <v>148</v>
      </c>
      <c r="D439" s="156" t="s">
        <v>1644</v>
      </c>
      <c r="E439" s="104" t="s">
        <v>2548</v>
      </c>
      <c r="F439" s="40"/>
      <c r="G439" s="40" t="s">
        <v>2283</v>
      </c>
      <c r="H439" s="136" t="s">
        <v>2513</v>
      </c>
      <c r="I439" s="114">
        <v>1621.2</v>
      </c>
      <c r="J439" s="40" t="s">
        <v>1290</v>
      </c>
    </row>
    <row r="440" spans="1:10" s="6" customFormat="1" ht="38.25" x14ac:dyDescent="0.2">
      <c r="A440" s="219"/>
      <c r="B440" s="40">
        <v>86</v>
      </c>
      <c r="C440" s="152" t="s">
        <v>1728</v>
      </c>
      <c r="D440" s="156" t="s">
        <v>1644</v>
      </c>
      <c r="E440" s="104" t="s">
        <v>2541</v>
      </c>
      <c r="F440" s="40"/>
      <c r="G440" s="40" t="s">
        <v>2283</v>
      </c>
      <c r="H440" s="136" t="s">
        <v>3887</v>
      </c>
      <c r="I440" s="114">
        <v>170312.99</v>
      </c>
      <c r="J440" s="40" t="s">
        <v>1290</v>
      </c>
    </row>
    <row r="441" spans="1:10" s="6" customFormat="1" ht="38.25" x14ac:dyDescent="0.2">
      <c r="A441" s="219"/>
      <c r="B441" s="40">
        <v>87</v>
      </c>
      <c r="C441" s="154" t="s">
        <v>307</v>
      </c>
      <c r="D441" s="156" t="s">
        <v>1644</v>
      </c>
      <c r="E441" s="104" t="s">
        <v>2546</v>
      </c>
      <c r="F441" s="40"/>
      <c r="G441" s="40" t="s">
        <v>2578</v>
      </c>
      <c r="H441" s="136" t="s">
        <v>3949</v>
      </c>
      <c r="I441" s="114">
        <v>529.20000000000005</v>
      </c>
      <c r="J441" s="40" t="s">
        <v>1290</v>
      </c>
    </row>
    <row r="442" spans="1:10" s="6" customFormat="1" ht="38.25" x14ac:dyDescent="0.2">
      <c r="A442" s="219"/>
      <c r="B442" s="40">
        <v>88</v>
      </c>
      <c r="C442" s="154" t="s">
        <v>307</v>
      </c>
      <c r="D442" s="156" t="s">
        <v>4033</v>
      </c>
      <c r="E442" s="104" t="s">
        <v>2509</v>
      </c>
      <c r="F442" s="40"/>
      <c r="G442" s="40" t="s">
        <v>3477</v>
      </c>
      <c r="H442" s="136" t="s">
        <v>3780</v>
      </c>
      <c r="I442" s="114">
        <f>48*1.05</f>
        <v>50.400000000000006</v>
      </c>
      <c r="J442" s="40" t="s">
        <v>1290</v>
      </c>
    </row>
    <row r="443" spans="1:10" s="6" customFormat="1" ht="38.25" x14ac:dyDescent="0.2">
      <c r="A443" s="219"/>
      <c r="B443" s="40">
        <v>89</v>
      </c>
      <c r="C443" s="154" t="s">
        <v>45</v>
      </c>
      <c r="D443" s="156" t="s">
        <v>4033</v>
      </c>
      <c r="E443" s="104" t="s">
        <v>2538</v>
      </c>
      <c r="F443" s="40"/>
      <c r="G443" s="40" t="s">
        <v>3477</v>
      </c>
      <c r="H443" s="136" t="s">
        <v>4041</v>
      </c>
      <c r="I443" s="114">
        <f>9726.5*1.05</f>
        <v>10212.825000000001</v>
      </c>
      <c r="J443" s="40" t="s">
        <v>1290</v>
      </c>
    </row>
    <row r="444" spans="1:10" s="6" customFormat="1" ht="38.25" x14ac:dyDescent="0.2">
      <c r="A444" s="219"/>
      <c r="B444" s="40">
        <v>90</v>
      </c>
      <c r="C444" s="152" t="s">
        <v>148</v>
      </c>
      <c r="D444" s="156" t="s">
        <v>4033</v>
      </c>
      <c r="E444" s="104" t="s">
        <v>2548</v>
      </c>
      <c r="F444" s="40"/>
      <c r="G444" s="40" t="s">
        <v>3477</v>
      </c>
      <c r="H444" s="136" t="s">
        <v>4042</v>
      </c>
      <c r="I444" s="114">
        <f>415*1.05</f>
        <v>435.75</v>
      </c>
      <c r="J444" s="40" t="s">
        <v>1290</v>
      </c>
    </row>
    <row r="445" spans="1:10" s="6" customFormat="1" ht="38.25" x14ac:dyDescent="0.2">
      <c r="A445" s="219"/>
      <c r="B445" s="40">
        <v>91</v>
      </c>
      <c r="C445" s="154" t="s">
        <v>45</v>
      </c>
      <c r="D445" s="156" t="s">
        <v>1637</v>
      </c>
      <c r="E445" s="104" t="s">
        <v>2480</v>
      </c>
      <c r="F445" s="40"/>
      <c r="G445" s="40" t="s">
        <v>3711</v>
      </c>
      <c r="H445" s="136" t="s">
        <v>4090</v>
      </c>
      <c r="I445" s="114">
        <v>108017.39</v>
      </c>
      <c r="J445" s="40" t="s">
        <v>1290</v>
      </c>
    </row>
    <row r="446" spans="1:10" s="6" customFormat="1" ht="38.25" x14ac:dyDescent="0.2">
      <c r="A446" s="219"/>
      <c r="B446" s="40">
        <v>92</v>
      </c>
      <c r="C446" s="152" t="s">
        <v>1728</v>
      </c>
      <c r="D446" s="156" t="s">
        <v>1637</v>
      </c>
      <c r="E446" s="104" t="s">
        <v>2478</v>
      </c>
      <c r="F446" s="40"/>
      <c r="G446" s="40" t="s">
        <v>3242</v>
      </c>
      <c r="H446" s="136" t="s">
        <v>4091</v>
      </c>
      <c r="I446" s="114">
        <v>115845.45</v>
      </c>
      <c r="J446" s="40" t="s">
        <v>1290</v>
      </c>
    </row>
    <row r="447" spans="1:10" s="6" customFormat="1" ht="38.25" x14ac:dyDescent="0.2">
      <c r="A447" s="219"/>
      <c r="B447" s="40">
        <v>93</v>
      </c>
      <c r="C447" s="154" t="s">
        <v>307</v>
      </c>
      <c r="D447" s="156" t="s">
        <v>1637</v>
      </c>
      <c r="E447" s="104" t="s">
        <v>2546</v>
      </c>
      <c r="F447" s="40"/>
      <c r="G447" s="40" t="s">
        <v>3468</v>
      </c>
      <c r="H447" s="136" t="s">
        <v>4092</v>
      </c>
      <c r="I447" s="114">
        <v>256.2</v>
      </c>
      <c r="J447" s="40" t="s">
        <v>1290</v>
      </c>
    </row>
    <row r="448" spans="1:10" s="6" customFormat="1" ht="38.25" x14ac:dyDescent="0.2">
      <c r="A448" s="219"/>
      <c r="B448" s="40">
        <v>94</v>
      </c>
      <c r="C448" s="154" t="s">
        <v>2519</v>
      </c>
      <c r="D448" s="156" t="s">
        <v>1637</v>
      </c>
      <c r="E448" s="104" t="s">
        <v>2543</v>
      </c>
      <c r="F448" s="40"/>
      <c r="G448" s="40" t="s">
        <v>3714</v>
      </c>
      <c r="H448" s="136" t="s">
        <v>4093</v>
      </c>
      <c r="I448" s="114">
        <v>144057.5</v>
      </c>
      <c r="J448" s="40" t="s">
        <v>1290</v>
      </c>
    </row>
    <row r="449" spans="1:10" s="6" customFormat="1" ht="38.25" x14ac:dyDescent="0.2">
      <c r="A449" s="219"/>
      <c r="B449" s="40">
        <v>95</v>
      </c>
      <c r="C449" s="152" t="s">
        <v>148</v>
      </c>
      <c r="D449" s="156" t="s">
        <v>1637</v>
      </c>
      <c r="E449" s="104" t="s">
        <v>2548</v>
      </c>
      <c r="F449" s="40"/>
      <c r="G449" s="40" t="s">
        <v>3245</v>
      </c>
      <c r="H449" s="136" t="s">
        <v>4094</v>
      </c>
      <c r="I449" s="114">
        <v>2310</v>
      </c>
      <c r="J449" s="40" t="s">
        <v>1290</v>
      </c>
    </row>
    <row r="450" spans="1:10" s="6" customFormat="1" ht="38.25" x14ac:dyDescent="0.2">
      <c r="A450" s="220"/>
      <c r="B450" s="40">
        <v>96</v>
      </c>
      <c r="C450" s="154" t="s">
        <v>41</v>
      </c>
      <c r="D450" s="156" t="s">
        <v>1637</v>
      </c>
      <c r="E450" s="104" t="s">
        <v>2523</v>
      </c>
      <c r="F450" s="40"/>
      <c r="G450" s="40" t="s">
        <v>3722</v>
      </c>
      <c r="H450" s="136" t="s">
        <v>4095</v>
      </c>
      <c r="I450" s="114">
        <v>23081.63</v>
      </c>
      <c r="J450" s="40" t="s">
        <v>1290</v>
      </c>
    </row>
    <row r="451" spans="1:10" ht="38.25" x14ac:dyDescent="0.2">
      <c r="A451" s="234" t="s">
        <v>2311</v>
      </c>
      <c r="B451" s="25">
        <v>1</v>
      </c>
      <c r="C451" s="82" t="s">
        <v>1728</v>
      </c>
      <c r="D451" s="168" t="s">
        <v>1731</v>
      </c>
      <c r="E451" s="101"/>
      <c r="F451" s="25"/>
      <c r="G451" s="90" t="s">
        <v>2283</v>
      </c>
      <c r="H451" s="91" t="s">
        <v>2312</v>
      </c>
      <c r="I451" s="18">
        <f>51.6*1.05</f>
        <v>54.180000000000007</v>
      </c>
      <c r="J451" s="25" t="s">
        <v>1290</v>
      </c>
    </row>
    <row r="452" spans="1:10" ht="38.25" x14ac:dyDescent="0.2">
      <c r="A452" s="235"/>
      <c r="B452" s="25">
        <v>2</v>
      </c>
      <c r="C452" s="82" t="s">
        <v>1728</v>
      </c>
      <c r="D452" s="85" t="s">
        <v>1641</v>
      </c>
      <c r="E452" s="101">
        <v>90</v>
      </c>
      <c r="F452" s="25"/>
      <c r="G452" s="90" t="s">
        <v>2283</v>
      </c>
      <c r="H452" s="91" t="s">
        <v>2353</v>
      </c>
      <c r="I452" s="18">
        <v>207.9</v>
      </c>
      <c r="J452" s="25" t="s">
        <v>1290</v>
      </c>
    </row>
    <row r="453" spans="1:10" ht="38.25" x14ac:dyDescent="0.2">
      <c r="A453" s="235"/>
      <c r="B453" s="25">
        <v>3</v>
      </c>
      <c r="C453" s="82" t="s">
        <v>1728</v>
      </c>
      <c r="D453" s="93" t="s">
        <v>2352</v>
      </c>
      <c r="E453" s="101" t="s">
        <v>2168</v>
      </c>
      <c r="F453" s="25"/>
      <c r="G453" s="90" t="s">
        <v>2283</v>
      </c>
      <c r="H453" s="91" t="s">
        <v>2354</v>
      </c>
      <c r="I453" s="18">
        <f>19.43+2.31+9.14+17.35+29.93</f>
        <v>78.16</v>
      </c>
      <c r="J453" s="25" t="s">
        <v>1290</v>
      </c>
    </row>
    <row r="454" spans="1:10" ht="38.25" x14ac:dyDescent="0.2">
      <c r="A454" s="235"/>
      <c r="B454" s="25">
        <v>4</v>
      </c>
      <c r="C454" s="82" t="s">
        <v>45</v>
      </c>
      <c r="D454" s="169" t="s">
        <v>1769</v>
      </c>
      <c r="E454" s="101" t="s">
        <v>2398</v>
      </c>
      <c r="F454" s="25"/>
      <c r="G454" s="90" t="s">
        <v>2283</v>
      </c>
      <c r="H454" s="91" t="s">
        <v>2400</v>
      </c>
      <c r="I454" s="18">
        <f>7460.21*1.05</f>
        <v>7833.2205000000004</v>
      </c>
      <c r="J454" s="25" t="s">
        <v>1290</v>
      </c>
    </row>
    <row r="455" spans="1:10" ht="38.25" x14ac:dyDescent="0.2">
      <c r="A455" s="235"/>
      <c r="B455" s="25">
        <v>5</v>
      </c>
      <c r="C455" s="83" t="s">
        <v>41</v>
      </c>
      <c r="D455" s="169" t="s">
        <v>1769</v>
      </c>
      <c r="E455" s="101">
        <v>103</v>
      </c>
      <c r="F455" s="25"/>
      <c r="G455" s="90" t="s">
        <v>2283</v>
      </c>
      <c r="H455" s="91" t="s">
        <v>2401</v>
      </c>
      <c r="I455" s="18">
        <f>497.23*1.05</f>
        <v>522.0915</v>
      </c>
      <c r="J455" s="25" t="s">
        <v>1290</v>
      </c>
    </row>
    <row r="456" spans="1:10" ht="38.25" x14ac:dyDescent="0.2">
      <c r="A456" s="235"/>
      <c r="B456" s="25">
        <v>6</v>
      </c>
      <c r="C456" s="82" t="s">
        <v>1728</v>
      </c>
      <c r="D456" s="169" t="s">
        <v>1769</v>
      </c>
      <c r="E456" s="101" t="s">
        <v>2399</v>
      </c>
      <c r="F456" s="25"/>
      <c r="G456" s="90" t="s">
        <v>2283</v>
      </c>
      <c r="H456" s="91" t="s">
        <v>2402</v>
      </c>
      <c r="I456" s="18">
        <f>1220.63*1.05</f>
        <v>1281.6615000000002</v>
      </c>
      <c r="J456" s="25" t="s">
        <v>1290</v>
      </c>
    </row>
    <row r="457" spans="1:10" ht="38.25" x14ac:dyDescent="0.2">
      <c r="A457" s="235"/>
      <c r="B457" s="25">
        <v>7</v>
      </c>
      <c r="C457" s="83" t="s">
        <v>1713</v>
      </c>
      <c r="D457" s="169" t="s">
        <v>1769</v>
      </c>
      <c r="E457" s="101" t="s">
        <v>2403</v>
      </c>
      <c r="F457" s="25"/>
      <c r="G457" s="90" t="s">
        <v>2283</v>
      </c>
      <c r="H457" s="94" t="s">
        <v>2404</v>
      </c>
      <c r="I457" s="18">
        <f>3866.58*1.05</f>
        <v>4059.9090000000001</v>
      </c>
      <c r="J457" s="25" t="s">
        <v>1290</v>
      </c>
    </row>
    <row r="458" spans="1:10" ht="38.25" x14ac:dyDescent="0.2">
      <c r="A458" s="235"/>
      <c r="B458" s="25">
        <v>8</v>
      </c>
      <c r="C458" s="83" t="s">
        <v>1713</v>
      </c>
      <c r="D458" s="168" t="s">
        <v>1731</v>
      </c>
      <c r="E458" s="101"/>
      <c r="F458" s="25"/>
      <c r="G458" s="90" t="s">
        <v>2283</v>
      </c>
      <c r="H458" s="91" t="s">
        <v>2406</v>
      </c>
      <c r="I458" s="18">
        <f>114.2*1.05</f>
        <v>119.91000000000001</v>
      </c>
      <c r="J458" s="25" t="s">
        <v>1290</v>
      </c>
    </row>
    <row r="459" spans="1:10" ht="38.25" x14ac:dyDescent="0.2">
      <c r="A459" s="235"/>
      <c r="B459" s="25">
        <v>9</v>
      </c>
      <c r="C459" s="83" t="s">
        <v>41</v>
      </c>
      <c r="D459" s="168" t="s">
        <v>1731</v>
      </c>
      <c r="E459" s="101"/>
      <c r="F459" s="25"/>
      <c r="G459" s="90" t="s">
        <v>2283</v>
      </c>
      <c r="H459" s="94" t="s">
        <v>2407</v>
      </c>
      <c r="I459" s="18">
        <f>59.4*1.05</f>
        <v>62.370000000000005</v>
      </c>
      <c r="J459" s="25" t="s">
        <v>1290</v>
      </c>
    </row>
    <row r="460" spans="1:10" ht="51" x14ac:dyDescent="0.2">
      <c r="A460" s="235"/>
      <c r="B460" s="25">
        <v>10</v>
      </c>
      <c r="C460" s="83" t="s">
        <v>1713</v>
      </c>
      <c r="D460" s="85" t="s">
        <v>1641</v>
      </c>
      <c r="E460" s="101" t="s">
        <v>2482</v>
      </c>
      <c r="F460" s="25"/>
      <c r="G460" s="90" t="s">
        <v>2283</v>
      </c>
      <c r="H460" s="94" t="s">
        <v>2483</v>
      </c>
      <c r="I460" s="18">
        <v>820.13</v>
      </c>
      <c r="J460" s="25" t="s">
        <v>1290</v>
      </c>
    </row>
    <row r="461" spans="1:10" ht="76.5" x14ac:dyDescent="0.2">
      <c r="A461" s="235"/>
      <c r="B461" s="25">
        <v>11</v>
      </c>
      <c r="C461" s="82" t="s">
        <v>45</v>
      </c>
      <c r="D461" s="85" t="s">
        <v>1641</v>
      </c>
      <c r="E461" s="101" t="s">
        <v>2484</v>
      </c>
      <c r="F461" s="25"/>
      <c r="G461" s="90" t="s">
        <v>2394</v>
      </c>
      <c r="H461" s="94" t="s">
        <v>2485</v>
      </c>
      <c r="I461" s="18">
        <v>3351.73</v>
      </c>
      <c r="J461" s="25" t="s">
        <v>1290</v>
      </c>
    </row>
    <row r="462" spans="1:10" ht="38.25" x14ac:dyDescent="0.2">
      <c r="A462" s="235"/>
      <c r="B462" s="25">
        <v>12</v>
      </c>
      <c r="C462" s="82" t="s">
        <v>45</v>
      </c>
      <c r="D462" s="85" t="s">
        <v>1692</v>
      </c>
      <c r="E462" s="101" t="s">
        <v>2487</v>
      </c>
      <c r="F462" s="25"/>
      <c r="G462" s="90" t="s">
        <v>2488</v>
      </c>
      <c r="H462" s="91" t="s">
        <v>2489</v>
      </c>
      <c r="I462" s="18">
        <v>3119.42</v>
      </c>
      <c r="J462" s="25" t="s">
        <v>1290</v>
      </c>
    </row>
    <row r="463" spans="1:10" ht="38.25" x14ac:dyDescent="0.2">
      <c r="A463" s="235"/>
      <c r="B463" s="25">
        <v>13</v>
      </c>
      <c r="C463" s="82" t="s">
        <v>1728</v>
      </c>
      <c r="D463" s="85" t="s">
        <v>1692</v>
      </c>
      <c r="E463" s="101">
        <v>90</v>
      </c>
      <c r="F463" s="25"/>
      <c r="G463" s="90" t="s">
        <v>2488</v>
      </c>
      <c r="H463" s="91" t="s">
        <v>2490</v>
      </c>
      <c r="I463" s="18">
        <v>187.11</v>
      </c>
      <c r="J463" s="25" t="s">
        <v>1290</v>
      </c>
    </row>
    <row r="464" spans="1:10" ht="38.25" x14ac:dyDescent="0.2">
      <c r="A464" s="235"/>
      <c r="B464" s="25">
        <v>14</v>
      </c>
      <c r="C464" s="83" t="s">
        <v>1713</v>
      </c>
      <c r="D464" s="85" t="s">
        <v>1692</v>
      </c>
      <c r="E464" s="101" t="s">
        <v>2504</v>
      </c>
      <c r="F464" s="25"/>
      <c r="G464" s="90" t="s">
        <v>2505</v>
      </c>
      <c r="H464" s="91" t="s">
        <v>2506</v>
      </c>
      <c r="I464" s="18">
        <v>2403.87</v>
      </c>
      <c r="J464" s="25" t="s">
        <v>1290</v>
      </c>
    </row>
    <row r="465" spans="1:10" ht="38.25" x14ac:dyDescent="0.2">
      <c r="A465" s="235"/>
      <c r="B465" s="25">
        <v>15</v>
      </c>
      <c r="C465" s="83" t="s">
        <v>41</v>
      </c>
      <c r="D465" s="85" t="s">
        <v>1692</v>
      </c>
      <c r="E465" s="101" t="s">
        <v>2507</v>
      </c>
      <c r="F465" s="25"/>
      <c r="G465" s="90" t="s">
        <v>2389</v>
      </c>
      <c r="H465" s="91" t="s">
        <v>2508</v>
      </c>
      <c r="I465" s="18">
        <v>152.46</v>
      </c>
      <c r="J465" s="25" t="s">
        <v>1290</v>
      </c>
    </row>
    <row r="466" spans="1:10" ht="38.25" x14ac:dyDescent="0.2">
      <c r="A466" s="235"/>
      <c r="B466" s="25">
        <v>16</v>
      </c>
      <c r="C466" s="83" t="s">
        <v>41</v>
      </c>
      <c r="D466" s="85" t="s">
        <v>1641</v>
      </c>
      <c r="E466" s="101" t="s">
        <v>2507</v>
      </c>
      <c r="F466" s="25"/>
      <c r="G466" s="25" t="s">
        <v>2551</v>
      </c>
      <c r="H466" s="91" t="s">
        <v>2553</v>
      </c>
      <c r="I466" s="18">
        <v>126.13</v>
      </c>
      <c r="J466" s="25" t="s">
        <v>1290</v>
      </c>
    </row>
    <row r="467" spans="1:10" ht="38.25" x14ac:dyDescent="0.2">
      <c r="A467" s="235"/>
      <c r="B467" s="25">
        <v>17</v>
      </c>
      <c r="C467" s="82" t="s">
        <v>1728</v>
      </c>
      <c r="D467" s="85" t="s">
        <v>2554</v>
      </c>
      <c r="E467" s="101">
        <v>90</v>
      </c>
      <c r="F467" s="25"/>
      <c r="G467" s="90" t="s">
        <v>2517</v>
      </c>
      <c r="H467" s="91" t="s">
        <v>2562</v>
      </c>
      <c r="I467" s="18">
        <v>623.70000000000005</v>
      </c>
      <c r="J467" s="25" t="s">
        <v>1290</v>
      </c>
    </row>
    <row r="468" spans="1:10" ht="38.25" x14ac:dyDescent="0.2">
      <c r="A468" s="235"/>
      <c r="B468" s="25">
        <v>18</v>
      </c>
      <c r="C468" s="95" t="s">
        <v>2519</v>
      </c>
      <c r="D468" s="85" t="s">
        <v>2554</v>
      </c>
      <c r="E468" s="101" t="s">
        <v>2504</v>
      </c>
      <c r="F468" s="25"/>
      <c r="G468" s="90" t="s">
        <v>2521</v>
      </c>
      <c r="H468" s="91" t="s">
        <v>2556</v>
      </c>
      <c r="I468" s="18">
        <v>8914.5</v>
      </c>
      <c r="J468" s="25" t="s">
        <v>1290</v>
      </c>
    </row>
    <row r="469" spans="1:10" ht="38.25" x14ac:dyDescent="0.2">
      <c r="A469" s="235"/>
      <c r="B469" s="25">
        <v>19</v>
      </c>
      <c r="C469" s="82" t="s">
        <v>45</v>
      </c>
      <c r="D469" s="85" t="s">
        <v>2554</v>
      </c>
      <c r="E469" s="101" t="s">
        <v>2572</v>
      </c>
      <c r="F469" s="25"/>
      <c r="G469" s="90" t="s">
        <v>2510</v>
      </c>
      <c r="H469" s="91" t="s">
        <v>2573</v>
      </c>
      <c r="I469" s="18">
        <v>14918.55</v>
      </c>
      <c r="J469" s="25" t="s">
        <v>1290</v>
      </c>
    </row>
    <row r="470" spans="1:10" ht="38.25" x14ac:dyDescent="0.2">
      <c r="A470" s="235"/>
      <c r="B470" s="25">
        <v>20</v>
      </c>
      <c r="C470" s="83" t="s">
        <v>41</v>
      </c>
      <c r="D470" s="85" t="s">
        <v>2554</v>
      </c>
      <c r="E470" s="101" t="s">
        <v>2574</v>
      </c>
      <c r="F470" s="25"/>
      <c r="G470" s="90" t="s">
        <v>2521</v>
      </c>
      <c r="H470" s="91" t="s">
        <v>2556</v>
      </c>
      <c r="I470" s="18">
        <v>1214.81</v>
      </c>
      <c r="J470" s="25" t="s">
        <v>1290</v>
      </c>
    </row>
    <row r="471" spans="1:10" ht="38.25" x14ac:dyDescent="0.2">
      <c r="A471" s="235"/>
      <c r="B471" s="25">
        <v>21</v>
      </c>
      <c r="C471" s="82" t="s">
        <v>45</v>
      </c>
      <c r="D471" s="85" t="s">
        <v>2154</v>
      </c>
      <c r="E471" s="101" t="s">
        <v>2575</v>
      </c>
      <c r="F471" s="25"/>
      <c r="G471" s="90" t="s">
        <v>2521</v>
      </c>
      <c r="H471" s="91" t="s">
        <v>2576</v>
      </c>
      <c r="I471" s="18">
        <f>7446*1.05</f>
        <v>7818.3</v>
      </c>
      <c r="J471" s="25" t="s">
        <v>1290</v>
      </c>
    </row>
    <row r="472" spans="1:10" ht="38.25" x14ac:dyDescent="0.2">
      <c r="A472" s="235"/>
      <c r="B472" s="25">
        <v>22</v>
      </c>
      <c r="C472" s="83" t="s">
        <v>41</v>
      </c>
      <c r="D472" s="85" t="s">
        <v>2154</v>
      </c>
      <c r="E472" s="101" t="s">
        <v>2577</v>
      </c>
      <c r="F472" s="25"/>
      <c r="G472" s="90" t="s">
        <v>2578</v>
      </c>
      <c r="H472" s="91" t="s">
        <v>2579</v>
      </c>
      <c r="I472" s="18">
        <f>858.48*1.05</f>
        <v>901.40400000000011</v>
      </c>
      <c r="J472" s="25" t="s">
        <v>1290</v>
      </c>
    </row>
    <row r="473" spans="1:10" ht="38.25" x14ac:dyDescent="0.2">
      <c r="A473" s="235"/>
      <c r="B473" s="25">
        <v>23</v>
      </c>
      <c r="C473" s="82" t="s">
        <v>1728</v>
      </c>
      <c r="D473" s="85" t="s">
        <v>2154</v>
      </c>
      <c r="E473" s="101" t="s">
        <v>2580</v>
      </c>
      <c r="F473" s="25"/>
      <c r="G473" s="90" t="s">
        <v>2386</v>
      </c>
      <c r="H473" s="91" t="s">
        <v>2581</v>
      </c>
      <c r="I473" s="18">
        <f>228*1.05</f>
        <v>239.4</v>
      </c>
      <c r="J473" s="25" t="s">
        <v>1290</v>
      </c>
    </row>
    <row r="474" spans="1:10" ht="38.25" x14ac:dyDescent="0.2">
      <c r="A474" s="235"/>
      <c r="B474" s="25">
        <v>24</v>
      </c>
      <c r="C474" s="95" t="s">
        <v>2519</v>
      </c>
      <c r="D474" s="85" t="s">
        <v>1656</v>
      </c>
      <c r="E474" s="101" t="s">
        <v>2582</v>
      </c>
      <c r="F474" s="25"/>
      <c r="G474" s="90" t="s">
        <v>2517</v>
      </c>
      <c r="H474" s="91" t="s">
        <v>2583</v>
      </c>
      <c r="I474" s="18">
        <v>4232.68</v>
      </c>
      <c r="J474" s="25" t="s">
        <v>1290</v>
      </c>
    </row>
    <row r="475" spans="1:10" ht="38.25" x14ac:dyDescent="0.2">
      <c r="A475" s="235"/>
      <c r="B475" s="25">
        <v>25</v>
      </c>
      <c r="C475" s="82" t="s">
        <v>1728</v>
      </c>
      <c r="D475" s="85" t="s">
        <v>1656</v>
      </c>
      <c r="E475" s="101" t="s">
        <v>2580</v>
      </c>
      <c r="F475" s="25"/>
      <c r="G475" s="90" t="s">
        <v>2584</v>
      </c>
      <c r="H475" s="91" t="s">
        <v>2585</v>
      </c>
      <c r="I475" s="18">
        <v>199.71</v>
      </c>
      <c r="J475" s="25" t="s">
        <v>1290</v>
      </c>
    </row>
    <row r="476" spans="1:10" ht="38.25" x14ac:dyDescent="0.2">
      <c r="A476" s="235"/>
      <c r="B476" s="25">
        <v>26</v>
      </c>
      <c r="C476" s="83" t="s">
        <v>41</v>
      </c>
      <c r="D476" s="85" t="s">
        <v>1656</v>
      </c>
      <c r="E476" s="101">
        <v>103</v>
      </c>
      <c r="F476" s="25"/>
      <c r="G476" s="90" t="s">
        <v>2584</v>
      </c>
      <c r="H476" s="91" t="s">
        <v>2586</v>
      </c>
      <c r="I476" s="18">
        <v>1629.94</v>
      </c>
      <c r="J476" s="25" t="s">
        <v>1290</v>
      </c>
    </row>
    <row r="477" spans="1:10" ht="38.25" x14ac:dyDescent="0.2">
      <c r="A477" s="235"/>
      <c r="B477" s="25">
        <v>27</v>
      </c>
      <c r="C477" s="82" t="s">
        <v>45</v>
      </c>
      <c r="D477" s="85" t="s">
        <v>1656</v>
      </c>
      <c r="E477" s="101" t="s">
        <v>2597</v>
      </c>
      <c r="F477" s="25"/>
      <c r="G477" s="90" t="s">
        <v>2389</v>
      </c>
      <c r="H477" s="91" t="s">
        <v>2598</v>
      </c>
      <c r="I477" s="18">
        <v>5078.72</v>
      </c>
      <c r="J477" s="25" t="s">
        <v>1290</v>
      </c>
    </row>
    <row r="478" spans="1:10" ht="38.25" x14ac:dyDescent="0.2">
      <c r="A478" s="235"/>
      <c r="B478" s="25">
        <v>28</v>
      </c>
      <c r="C478" s="95" t="s">
        <v>2519</v>
      </c>
      <c r="D478" s="85" t="s">
        <v>1618</v>
      </c>
      <c r="E478" s="101" t="s">
        <v>2701</v>
      </c>
      <c r="F478" s="25"/>
      <c r="G478" s="90" t="s">
        <v>2604</v>
      </c>
      <c r="H478" s="91" t="s">
        <v>2702</v>
      </c>
      <c r="I478" s="18">
        <f>548.16+57.75+730.8+102.37+110.25+498.75+117.6+367.5+845.25+227.85</f>
        <v>3606.2799999999997</v>
      </c>
      <c r="J478" s="25" t="s">
        <v>1290</v>
      </c>
    </row>
    <row r="479" spans="1:10" ht="38.25" x14ac:dyDescent="0.2">
      <c r="A479" s="235"/>
      <c r="B479" s="25">
        <v>29</v>
      </c>
      <c r="C479" s="82" t="s">
        <v>45</v>
      </c>
      <c r="D479" s="85" t="s">
        <v>1618</v>
      </c>
      <c r="E479" s="101" t="s">
        <v>2487</v>
      </c>
      <c r="F479" s="25"/>
      <c r="G479" s="90" t="s">
        <v>2505</v>
      </c>
      <c r="H479" s="91" t="s">
        <v>2703</v>
      </c>
      <c r="I479" s="18">
        <f>1339.8+785.4+161.7+514.5+259.87+94.5+288.12+184.27+86.62+132.3+73.5+83.16+74.97+35.28+379.26+157.5+639.45+1025.32+504</f>
        <v>6819.5199999999986</v>
      </c>
      <c r="J479" s="25" t="s">
        <v>1290</v>
      </c>
    </row>
    <row r="480" spans="1:10" ht="38.25" x14ac:dyDescent="0.2">
      <c r="A480" s="235"/>
      <c r="B480" s="25">
        <v>30</v>
      </c>
      <c r="C480" s="82" t="s">
        <v>1728</v>
      </c>
      <c r="D480" s="85" t="s">
        <v>1618</v>
      </c>
      <c r="E480" s="101" t="s">
        <v>2580</v>
      </c>
      <c r="F480" s="25"/>
      <c r="G480" s="90" t="s">
        <v>2505</v>
      </c>
      <c r="H480" s="91" t="s">
        <v>2704</v>
      </c>
      <c r="I480" s="18">
        <f>415.8+83.47</f>
        <v>499.27</v>
      </c>
      <c r="J480" s="25" t="s">
        <v>1290</v>
      </c>
    </row>
    <row r="481" spans="1:10" ht="38.25" x14ac:dyDescent="0.2">
      <c r="A481" s="235"/>
      <c r="B481" s="25">
        <v>31</v>
      </c>
      <c r="C481" s="83" t="s">
        <v>41</v>
      </c>
      <c r="D481" s="85" t="s">
        <v>1618</v>
      </c>
      <c r="E481" s="101">
        <v>103</v>
      </c>
      <c r="F481" s="25"/>
      <c r="G481" s="90" t="s">
        <v>2524</v>
      </c>
      <c r="H481" s="91" t="s">
        <v>2705</v>
      </c>
      <c r="I481" s="18">
        <v>194.04</v>
      </c>
      <c r="J481" s="25" t="s">
        <v>1290</v>
      </c>
    </row>
    <row r="482" spans="1:10" ht="38.25" x14ac:dyDescent="0.2">
      <c r="A482" s="235"/>
      <c r="B482" s="25">
        <v>32</v>
      </c>
      <c r="C482" s="95" t="s">
        <v>2519</v>
      </c>
      <c r="D482" s="85" t="s">
        <v>2352</v>
      </c>
      <c r="E482" s="101" t="s">
        <v>2812</v>
      </c>
      <c r="F482" s="25"/>
      <c r="G482" s="90" t="s">
        <v>2551</v>
      </c>
      <c r="H482" s="91" t="s">
        <v>2813</v>
      </c>
      <c r="I482" s="18">
        <v>379.94</v>
      </c>
      <c r="J482" s="25" t="s">
        <v>1290</v>
      </c>
    </row>
    <row r="483" spans="1:10" ht="38.25" x14ac:dyDescent="0.2">
      <c r="A483" s="235"/>
      <c r="B483" s="25">
        <v>33</v>
      </c>
      <c r="C483" s="82" t="s">
        <v>45</v>
      </c>
      <c r="D483" s="85" t="s">
        <v>2352</v>
      </c>
      <c r="E483" s="101" t="s">
        <v>2814</v>
      </c>
      <c r="F483" s="25"/>
      <c r="G483" s="90" t="s">
        <v>2524</v>
      </c>
      <c r="H483" s="91" t="s">
        <v>2815</v>
      </c>
      <c r="I483" s="18">
        <v>560.51</v>
      </c>
      <c r="J483" s="25" t="s">
        <v>1290</v>
      </c>
    </row>
    <row r="484" spans="1:10" ht="38.25" x14ac:dyDescent="0.2">
      <c r="A484" s="235"/>
      <c r="B484" s="25">
        <v>34</v>
      </c>
      <c r="C484" s="82" t="s">
        <v>1728</v>
      </c>
      <c r="D484" s="85" t="s">
        <v>2788</v>
      </c>
      <c r="E484" s="101">
        <v>90</v>
      </c>
      <c r="F484" s="25"/>
      <c r="G484" s="90" t="s">
        <v>2636</v>
      </c>
      <c r="H484" s="91" t="s">
        <v>2847</v>
      </c>
      <c r="I484" s="18">
        <v>866.25</v>
      </c>
      <c r="J484" s="25" t="s">
        <v>1290</v>
      </c>
    </row>
    <row r="485" spans="1:10" ht="38.25" x14ac:dyDescent="0.2">
      <c r="A485" s="235"/>
      <c r="B485" s="25">
        <v>35</v>
      </c>
      <c r="C485" s="82" t="s">
        <v>45</v>
      </c>
      <c r="D485" s="85" t="s">
        <v>2788</v>
      </c>
      <c r="E485" s="101" t="s">
        <v>2848</v>
      </c>
      <c r="F485" s="25"/>
      <c r="G485" s="90" t="s">
        <v>2636</v>
      </c>
      <c r="H485" s="91" t="s">
        <v>2849</v>
      </c>
      <c r="I485" s="90">
        <v>39301.19</v>
      </c>
      <c r="J485" s="25" t="s">
        <v>1290</v>
      </c>
    </row>
    <row r="486" spans="1:10" ht="38.25" x14ac:dyDescent="0.2">
      <c r="A486" s="235"/>
      <c r="B486" s="25">
        <v>36</v>
      </c>
      <c r="C486" s="83" t="s">
        <v>41</v>
      </c>
      <c r="D486" s="85" t="s">
        <v>2788</v>
      </c>
      <c r="E486" s="101" t="s">
        <v>2507</v>
      </c>
      <c r="F486" s="25"/>
      <c r="G486" s="90" t="s">
        <v>2794</v>
      </c>
      <c r="H486" s="91" t="s">
        <v>2850</v>
      </c>
      <c r="I486" s="18">
        <v>914.76</v>
      </c>
      <c r="J486" s="25" t="s">
        <v>1290</v>
      </c>
    </row>
    <row r="487" spans="1:10" ht="38.25" x14ac:dyDescent="0.2">
      <c r="A487" s="235"/>
      <c r="B487" s="25">
        <v>37</v>
      </c>
      <c r="C487" s="95" t="s">
        <v>2519</v>
      </c>
      <c r="D487" s="85" t="s">
        <v>2788</v>
      </c>
      <c r="E487" s="101" t="s">
        <v>2504</v>
      </c>
      <c r="F487" s="25"/>
      <c r="G487" s="90" t="s">
        <v>2825</v>
      </c>
      <c r="H487" s="91" t="s">
        <v>2851</v>
      </c>
      <c r="I487" s="18">
        <v>11042.33</v>
      </c>
      <c r="J487" s="25" t="s">
        <v>1290</v>
      </c>
    </row>
    <row r="488" spans="1:10" ht="38.25" x14ac:dyDescent="0.2">
      <c r="A488" s="235"/>
      <c r="B488" s="25">
        <v>38</v>
      </c>
      <c r="C488" s="83" t="s">
        <v>41</v>
      </c>
      <c r="D488" s="85" t="s">
        <v>2352</v>
      </c>
      <c r="E488" s="101">
        <v>110</v>
      </c>
      <c r="F488" s="25"/>
      <c r="G488" s="90" t="s">
        <v>2950</v>
      </c>
      <c r="H488" s="91" t="s">
        <v>2951</v>
      </c>
      <c r="I488" s="18">
        <v>54.18</v>
      </c>
      <c r="J488" s="25" t="s">
        <v>1290</v>
      </c>
    </row>
    <row r="489" spans="1:10" ht="38.25" x14ac:dyDescent="0.2">
      <c r="A489" s="235"/>
      <c r="B489" s="25">
        <v>39</v>
      </c>
      <c r="C489" s="82" t="s">
        <v>1728</v>
      </c>
      <c r="D489" s="85" t="s">
        <v>2352</v>
      </c>
      <c r="E489" s="101" t="s">
        <v>2580</v>
      </c>
      <c r="F489" s="25"/>
      <c r="G489" s="90" t="s">
        <v>2950</v>
      </c>
      <c r="H489" s="91" t="s">
        <v>2951</v>
      </c>
      <c r="I489" s="18">
        <v>43.79</v>
      </c>
      <c r="J489" s="25" t="s">
        <v>1290</v>
      </c>
    </row>
    <row r="490" spans="1:10" ht="38.25" x14ac:dyDescent="0.2">
      <c r="A490" s="235"/>
      <c r="B490" s="25">
        <v>40</v>
      </c>
      <c r="C490" s="82" t="s">
        <v>1728</v>
      </c>
      <c r="D490" s="85" t="s">
        <v>2383</v>
      </c>
      <c r="E490" s="101">
        <v>90</v>
      </c>
      <c r="F490" s="25"/>
      <c r="G490" s="90" t="s">
        <v>2505</v>
      </c>
      <c r="H490" s="91" t="s">
        <v>2704</v>
      </c>
      <c r="I490" s="18">
        <v>1143.45</v>
      </c>
      <c r="J490" s="25" t="s">
        <v>1290</v>
      </c>
    </row>
    <row r="491" spans="1:10" ht="38.25" x14ac:dyDescent="0.2">
      <c r="A491" s="235"/>
      <c r="B491" s="25">
        <v>41</v>
      </c>
      <c r="C491" s="83" t="s">
        <v>41</v>
      </c>
      <c r="D491" s="85" t="s">
        <v>2383</v>
      </c>
      <c r="E491" s="101" t="s">
        <v>3319</v>
      </c>
      <c r="F491" s="25"/>
      <c r="G491" s="90" t="s">
        <v>2505</v>
      </c>
      <c r="H491" s="91" t="s">
        <v>3320</v>
      </c>
      <c r="I491" s="18">
        <v>1353.24</v>
      </c>
      <c r="J491" s="25" t="s">
        <v>1290</v>
      </c>
    </row>
    <row r="492" spans="1:10" ht="38.25" x14ac:dyDescent="0.2">
      <c r="A492" s="235"/>
      <c r="B492" s="25">
        <v>42</v>
      </c>
      <c r="C492" s="95" t="s">
        <v>2519</v>
      </c>
      <c r="D492" s="85" t="s">
        <v>2383</v>
      </c>
      <c r="E492" s="101" t="s">
        <v>3321</v>
      </c>
      <c r="F492" s="25"/>
      <c r="G492" s="90" t="s">
        <v>2661</v>
      </c>
      <c r="H492" s="91" t="s">
        <v>3322</v>
      </c>
      <c r="I492" s="18">
        <v>3543.96</v>
      </c>
      <c r="J492" s="25" t="s">
        <v>1290</v>
      </c>
    </row>
    <row r="493" spans="1:10" ht="38.25" x14ac:dyDescent="0.2">
      <c r="A493" s="235"/>
      <c r="B493" s="25">
        <v>43</v>
      </c>
      <c r="C493" s="82" t="s">
        <v>45</v>
      </c>
      <c r="D493" s="85" t="s">
        <v>2383</v>
      </c>
      <c r="E493" s="101" t="s">
        <v>3323</v>
      </c>
      <c r="F493" s="25"/>
      <c r="G493" s="90" t="s">
        <v>2521</v>
      </c>
      <c r="H493" s="91" t="s">
        <v>2576</v>
      </c>
      <c r="I493" s="18">
        <v>6046.07</v>
      </c>
      <c r="J493" s="25" t="s">
        <v>1290</v>
      </c>
    </row>
    <row r="494" spans="1:10" ht="38.25" x14ac:dyDescent="0.2">
      <c r="A494" s="235"/>
      <c r="B494" s="25">
        <v>44</v>
      </c>
      <c r="C494" s="95" t="s">
        <v>2519</v>
      </c>
      <c r="D494" s="85" t="s">
        <v>1625</v>
      </c>
      <c r="E494" s="101" t="s">
        <v>3693</v>
      </c>
      <c r="F494" s="25"/>
      <c r="G494" s="90" t="s">
        <v>3694</v>
      </c>
      <c r="H494" s="91" t="s">
        <v>3695</v>
      </c>
      <c r="I494" s="18">
        <f>2589.3+462+2539.53+204.75+220.5+106.79+3192+959.18+999.6+3381+683.55</f>
        <v>15338.199999999999</v>
      </c>
      <c r="J494" s="25" t="s">
        <v>1290</v>
      </c>
    </row>
    <row r="495" spans="1:10" ht="38.25" x14ac:dyDescent="0.2">
      <c r="A495" s="235"/>
      <c r="B495" s="25">
        <v>45</v>
      </c>
      <c r="C495" s="82" t="s">
        <v>45</v>
      </c>
      <c r="D495" s="85" t="s">
        <v>1625</v>
      </c>
      <c r="E495" s="101" t="s">
        <v>2487</v>
      </c>
      <c r="F495" s="25"/>
      <c r="G495" s="90" t="s">
        <v>3248</v>
      </c>
      <c r="H495" s="91" t="s">
        <v>3696</v>
      </c>
      <c r="I495" s="18">
        <f>8408.4+1092.42+1062.6+1176+103.95+94.5+1969.8+1760.85+1097.25+913.5+73.5+52.92+892.5+176.4+4966.5+252+1323+1455.3+63</f>
        <v>26934.39</v>
      </c>
      <c r="J495" s="25" t="s">
        <v>1290</v>
      </c>
    </row>
    <row r="496" spans="1:10" ht="38.25" x14ac:dyDescent="0.2">
      <c r="A496" s="235"/>
      <c r="B496" s="25">
        <v>46</v>
      </c>
      <c r="C496" s="82" t="s">
        <v>1728</v>
      </c>
      <c r="D496" s="85" t="s">
        <v>1625</v>
      </c>
      <c r="E496" s="101" t="s">
        <v>2580</v>
      </c>
      <c r="F496" s="25"/>
      <c r="G496" s="90" t="s">
        <v>3251</v>
      </c>
      <c r="H496" s="91" t="s">
        <v>3697</v>
      </c>
      <c r="I496" s="18">
        <f>623.7+517.55</f>
        <v>1141.25</v>
      </c>
      <c r="J496" s="25" t="s">
        <v>1290</v>
      </c>
    </row>
    <row r="497" spans="1:10" ht="38.25" x14ac:dyDescent="0.2">
      <c r="A497" s="235"/>
      <c r="B497" s="25">
        <v>47</v>
      </c>
      <c r="C497" s="83" t="s">
        <v>41</v>
      </c>
      <c r="D497" s="85" t="s">
        <v>1625</v>
      </c>
      <c r="E497" s="101" t="s">
        <v>2577</v>
      </c>
      <c r="F497" s="25"/>
      <c r="G497" s="90" t="s">
        <v>3694</v>
      </c>
      <c r="H497" s="91" t="s">
        <v>3698</v>
      </c>
      <c r="I497" s="18">
        <f>1801.8+1247.4+270.9</f>
        <v>3320.1</v>
      </c>
      <c r="J497" s="25" t="s">
        <v>1290</v>
      </c>
    </row>
    <row r="498" spans="1:10" ht="38.25" x14ac:dyDescent="0.2">
      <c r="A498" s="235"/>
      <c r="B498" s="25">
        <v>48</v>
      </c>
      <c r="C498" s="95" t="s">
        <v>2519</v>
      </c>
      <c r="D498" s="85" t="s">
        <v>2142</v>
      </c>
      <c r="E498" s="101" t="s">
        <v>2504</v>
      </c>
      <c r="F498" s="25"/>
      <c r="G498" s="90" t="s">
        <v>2539</v>
      </c>
      <c r="H498" s="91" t="s">
        <v>3756</v>
      </c>
      <c r="I498" s="18">
        <v>4110.5</v>
      </c>
      <c r="J498" s="25" t="s">
        <v>1290</v>
      </c>
    </row>
    <row r="499" spans="1:10" ht="38.25" x14ac:dyDescent="0.2">
      <c r="A499" s="235"/>
      <c r="B499" s="25">
        <v>49</v>
      </c>
      <c r="C499" s="95" t="s">
        <v>2519</v>
      </c>
      <c r="D499" s="85" t="s">
        <v>2154</v>
      </c>
      <c r="E499" s="101" t="s">
        <v>3757</v>
      </c>
      <c r="F499" s="25"/>
      <c r="G499" s="90" t="s">
        <v>2524</v>
      </c>
      <c r="H499" s="91" t="s">
        <v>3758</v>
      </c>
      <c r="I499" s="18">
        <f>3478.96*1.05</f>
        <v>3652.9080000000004</v>
      </c>
      <c r="J499" s="25" t="s">
        <v>1290</v>
      </c>
    </row>
    <row r="500" spans="1:10" ht="38.25" x14ac:dyDescent="0.2">
      <c r="A500" s="235"/>
      <c r="B500" s="25">
        <v>50</v>
      </c>
      <c r="C500" s="82" t="s">
        <v>45</v>
      </c>
      <c r="D500" s="85" t="s">
        <v>2259</v>
      </c>
      <c r="E500" s="101" t="s">
        <v>2487</v>
      </c>
      <c r="F500" s="25"/>
      <c r="G500" s="90" t="s">
        <v>2386</v>
      </c>
      <c r="H500" s="91" t="s">
        <v>3842</v>
      </c>
      <c r="I500" s="18">
        <v>924</v>
      </c>
      <c r="J500" s="25" t="s">
        <v>1290</v>
      </c>
    </row>
    <row r="501" spans="1:10" ht="38.25" x14ac:dyDescent="0.2">
      <c r="A501" s="235"/>
      <c r="B501" s="25">
        <v>51</v>
      </c>
      <c r="C501" s="95" t="s">
        <v>2519</v>
      </c>
      <c r="D501" s="85" t="s">
        <v>2259</v>
      </c>
      <c r="E501" s="101" t="s">
        <v>3843</v>
      </c>
      <c r="F501" s="25"/>
      <c r="G501" s="90" t="s">
        <v>2521</v>
      </c>
      <c r="H501" s="91" t="s">
        <v>3844</v>
      </c>
      <c r="I501" s="18">
        <v>659.4</v>
      </c>
      <c r="J501" s="25" t="s">
        <v>1290</v>
      </c>
    </row>
    <row r="502" spans="1:10" ht="38.25" x14ac:dyDescent="0.2">
      <c r="A502" s="235"/>
      <c r="B502" s="25">
        <v>52</v>
      </c>
      <c r="C502" s="83" t="s">
        <v>41</v>
      </c>
      <c r="D502" s="85" t="s">
        <v>2142</v>
      </c>
      <c r="E502" s="101" t="s">
        <v>2507</v>
      </c>
      <c r="F502" s="25"/>
      <c r="G502" s="90" t="s">
        <v>2539</v>
      </c>
      <c r="H502" s="91" t="s">
        <v>3893</v>
      </c>
      <c r="I502" s="18">
        <v>462.92</v>
      </c>
      <c r="J502" s="25" t="s">
        <v>1290</v>
      </c>
    </row>
    <row r="503" spans="1:10" ht="38.25" x14ac:dyDescent="0.2">
      <c r="A503" s="235"/>
      <c r="B503" s="25">
        <v>53</v>
      </c>
      <c r="C503" s="82" t="s">
        <v>1728</v>
      </c>
      <c r="D503" s="85" t="s">
        <v>2142</v>
      </c>
      <c r="E503" s="101" t="s">
        <v>2580</v>
      </c>
      <c r="F503" s="25"/>
      <c r="G503" s="90" t="s">
        <v>2539</v>
      </c>
      <c r="H503" s="91" t="s">
        <v>3894</v>
      </c>
      <c r="I503" s="18">
        <v>735</v>
      </c>
      <c r="J503" s="25" t="s">
        <v>1290</v>
      </c>
    </row>
    <row r="504" spans="1:10" ht="38.25" x14ac:dyDescent="0.2">
      <c r="A504" s="235"/>
      <c r="B504" s="25">
        <v>54</v>
      </c>
      <c r="C504" s="82" t="s">
        <v>45</v>
      </c>
      <c r="D504" s="85" t="s">
        <v>2142</v>
      </c>
      <c r="E504" s="101" t="s">
        <v>3895</v>
      </c>
      <c r="F504" s="25"/>
      <c r="G504" s="90" t="s">
        <v>2539</v>
      </c>
      <c r="H504" s="91" t="s">
        <v>3896</v>
      </c>
      <c r="I504" s="18">
        <v>5152.5600000000004</v>
      </c>
      <c r="J504" s="25" t="s">
        <v>1290</v>
      </c>
    </row>
    <row r="505" spans="1:10" ht="38.25" x14ac:dyDescent="0.2">
      <c r="A505" s="235"/>
      <c r="B505" s="25">
        <v>55</v>
      </c>
      <c r="C505" s="82" t="s">
        <v>1728</v>
      </c>
      <c r="D505" s="85" t="s">
        <v>1749</v>
      </c>
      <c r="E505" s="101" t="s">
        <v>2580</v>
      </c>
      <c r="F505" s="25"/>
      <c r="G505" s="90" t="s">
        <v>2879</v>
      </c>
      <c r="H505" s="91" t="s">
        <v>3897</v>
      </c>
      <c r="I505" s="18">
        <f>1185.03+300.51</f>
        <v>1485.54</v>
      </c>
      <c r="J505" s="25" t="s">
        <v>1290</v>
      </c>
    </row>
    <row r="506" spans="1:10" ht="38.25" x14ac:dyDescent="0.2">
      <c r="A506" s="235"/>
      <c r="B506" s="25">
        <v>56</v>
      </c>
      <c r="C506" s="83" t="s">
        <v>41</v>
      </c>
      <c r="D506" s="85" t="s">
        <v>1749</v>
      </c>
      <c r="E506" s="101" t="s">
        <v>2577</v>
      </c>
      <c r="F506" s="25"/>
      <c r="G506" s="90" t="s">
        <v>3279</v>
      </c>
      <c r="H506" s="91" t="s">
        <v>3898</v>
      </c>
      <c r="I506" s="18">
        <f>939.71+436.59+108.36</f>
        <v>1484.6599999999999</v>
      </c>
      <c r="J506" s="25" t="s">
        <v>1290</v>
      </c>
    </row>
    <row r="507" spans="1:10" ht="38.25" x14ac:dyDescent="0.2">
      <c r="A507" s="235"/>
      <c r="B507" s="25">
        <v>57</v>
      </c>
      <c r="C507" s="82" t="s">
        <v>45</v>
      </c>
      <c r="D507" s="85" t="s">
        <v>1749</v>
      </c>
      <c r="E507" s="101" t="s">
        <v>2487</v>
      </c>
      <c r="F507" s="25"/>
      <c r="G507" s="90" t="s">
        <v>3279</v>
      </c>
      <c r="H507" s="91" t="s">
        <v>3899</v>
      </c>
      <c r="I507" s="18">
        <f>10808.03+899.64+361.75+1102.5+1056.83+138.6+1504.1+155.61+184.8+517.86+14.7+68.04+83.18+15.12+54.18+239.4+868.77+160.97+655.2</f>
        <v>18889.280000000006</v>
      </c>
      <c r="J507" s="25" t="s">
        <v>1290</v>
      </c>
    </row>
    <row r="508" spans="1:10" ht="38.25" x14ac:dyDescent="0.2">
      <c r="A508" s="235"/>
      <c r="B508" s="25">
        <v>58</v>
      </c>
      <c r="C508" s="95" t="s">
        <v>2519</v>
      </c>
      <c r="D508" s="85" t="s">
        <v>1749</v>
      </c>
      <c r="E508" s="101" t="s">
        <v>3843</v>
      </c>
      <c r="F508" s="25"/>
      <c r="G508" s="90" t="s">
        <v>3279</v>
      </c>
      <c r="H508" s="91" t="s">
        <v>3900</v>
      </c>
      <c r="I508" s="18">
        <f>3012.66+614.23+18.9+1090.11+61.43+948.15+177.98+1270.08+298.41+411.6+2806.23+97.65</f>
        <v>10807.429999999998</v>
      </c>
      <c r="J508" s="25" t="s">
        <v>1290</v>
      </c>
    </row>
    <row r="509" spans="1:10" ht="38.25" x14ac:dyDescent="0.2">
      <c r="A509" s="235"/>
      <c r="B509" s="25">
        <v>59</v>
      </c>
      <c r="C509" s="95" t="s">
        <v>2519</v>
      </c>
      <c r="D509" s="85" t="s">
        <v>1644</v>
      </c>
      <c r="E509" s="101" t="s">
        <v>3843</v>
      </c>
      <c r="F509" s="25"/>
      <c r="G509" s="90" t="s">
        <v>2551</v>
      </c>
      <c r="H509" s="91" t="s">
        <v>3954</v>
      </c>
      <c r="I509" s="18">
        <v>6098.82</v>
      </c>
      <c r="J509" s="25" t="s">
        <v>1290</v>
      </c>
    </row>
    <row r="510" spans="1:10" ht="38.25" x14ac:dyDescent="0.2">
      <c r="A510" s="235"/>
      <c r="B510" s="25">
        <v>60</v>
      </c>
      <c r="C510" s="82" t="s">
        <v>45</v>
      </c>
      <c r="D510" s="85" t="s">
        <v>1644</v>
      </c>
      <c r="E510" s="101" t="s">
        <v>2487</v>
      </c>
      <c r="F510" s="25"/>
      <c r="G510" s="90" t="s">
        <v>2551</v>
      </c>
      <c r="H510" s="91" t="s">
        <v>3955</v>
      </c>
      <c r="I510" s="18">
        <v>11686.29</v>
      </c>
      <c r="J510" s="25" t="s">
        <v>1290</v>
      </c>
    </row>
    <row r="511" spans="1:10" ht="38.25" x14ac:dyDescent="0.2">
      <c r="A511" s="235"/>
      <c r="B511" s="25">
        <v>61</v>
      </c>
      <c r="C511" s="83" t="s">
        <v>41</v>
      </c>
      <c r="D511" s="85" t="s">
        <v>1644</v>
      </c>
      <c r="E511" s="101" t="s">
        <v>2577</v>
      </c>
      <c r="F511" s="25"/>
      <c r="G511" s="90" t="s">
        <v>2636</v>
      </c>
      <c r="H511" s="91" t="s">
        <v>3956</v>
      </c>
      <c r="I511" s="18">
        <v>902.79</v>
      </c>
      <c r="J511" s="25" t="s">
        <v>1290</v>
      </c>
    </row>
    <row r="512" spans="1:10" ht="38.25" x14ac:dyDescent="0.2">
      <c r="A512" s="235"/>
      <c r="B512" s="25">
        <v>62</v>
      </c>
      <c r="C512" s="82" t="s">
        <v>1728</v>
      </c>
      <c r="D512" s="85" t="s">
        <v>1644</v>
      </c>
      <c r="E512" s="101" t="s">
        <v>2580</v>
      </c>
      <c r="F512" s="25"/>
      <c r="G512" s="90" t="s">
        <v>2283</v>
      </c>
      <c r="H512" s="91" t="s">
        <v>2402</v>
      </c>
      <c r="I512" s="18">
        <v>1116.68</v>
      </c>
      <c r="J512" s="25" t="s">
        <v>1290</v>
      </c>
    </row>
    <row r="513" spans="1:10" ht="38.25" x14ac:dyDescent="0.2">
      <c r="A513" s="235"/>
      <c r="B513" s="25">
        <v>63</v>
      </c>
      <c r="C513" s="82" t="s">
        <v>45</v>
      </c>
      <c r="D513" s="85" t="s">
        <v>4033</v>
      </c>
      <c r="E513" s="101" t="s">
        <v>2487</v>
      </c>
      <c r="F513" s="25"/>
      <c r="G513" s="90" t="s">
        <v>3477</v>
      </c>
      <c r="H513" s="91" t="s">
        <v>4039</v>
      </c>
      <c r="I513" s="18">
        <f>1579*1.05</f>
        <v>1657.95</v>
      </c>
      <c r="J513" s="25" t="s">
        <v>1290</v>
      </c>
    </row>
    <row r="514" spans="1:10" ht="38.25" x14ac:dyDescent="0.2">
      <c r="A514" s="235"/>
      <c r="B514" s="25">
        <v>64</v>
      </c>
      <c r="C514" s="82" t="s">
        <v>1728</v>
      </c>
      <c r="D514" s="85" t="s">
        <v>4033</v>
      </c>
      <c r="E514" s="101" t="s">
        <v>2580</v>
      </c>
      <c r="F514" s="25"/>
      <c r="G514" s="90" t="s">
        <v>3477</v>
      </c>
      <c r="H514" s="91" t="s">
        <v>4040</v>
      </c>
      <c r="I514" s="18">
        <f>43*1.05</f>
        <v>45.15</v>
      </c>
      <c r="J514" s="25" t="s">
        <v>1290</v>
      </c>
    </row>
    <row r="515" spans="1:10" ht="38.25" x14ac:dyDescent="0.2">
      <c r="A515" s="235"/>
      <c r="B515" s="25">
        <v>65</v>
      </c>
      <c r="C515" s="82" t="s">
        <v>45</v>
      </c>
      <c r="D515" s="85" t="s">
        <v>1637</v>
      </c>
      <c r="E515" s="101" t="s">
        <v>2487</v>
      </c>
      <c r="F515" s="25"/>
      <c r="G515" s="90" t="s">
        <v>3711</v>
      </c>
      <c r="H515" s="91" t="s">
        <v>4096</v>
      </c>
      <c r="I515" s="18">
        <v>9229.8799999999992</v>
      </c>
      <c r="J515" s="25" t="s">
        <v>1290</v>
      </c>
    </row>
    <row r="516" spans="1:10" ht="38.25" x14ac:dyDescent="0.2">
      <c r="A516" s="235"/>
      <c r="B516" s="25">
        <v>66</v>
      </c>
      <c r="C516" s="82" t="s">
        <v>1728</v>
      </c>
      <c r="D516" s="85" t="s">
        <v>1637</v>
      </c>
      <c r="E516" s="101">
        <v>90</v>
      </c>
      <c r="F516" s="25"/>
      <c r="G516" s="90" t="s">
        <v>3242</v>
      </c>
      <c r="H516" s="91" t="s">
        <v>4097</v>
      </c>
      <c r="I516" s="18">
        <v>329.18</v>
      </c>
      <c r="J516" s="25" t="s">
        <v>1290</v>
      </c>
    </row>
    <row r="517" spans="1:10" ht="38.25" x14ac:dyDescent="0.2">
      <c r="A517" s="235"/>
      <c r="B517" s="25">
        <v>67</v>
      </c>
      <c r="C517" s="95" t="s">
        <v>2519</v>
      </c>
      <c r="D517" s="85" t="s">
        <v>1637</v>
      </c>
      <c r="E517" s="101" t="s">
        <v>4098</v>
      </c>
      <c r="F517" s="25"/>
      <c r="G517" s="90" t="s">
        <v>3714</v>
      </c>
      <c r="H517" s="91" t="s">
        <v>4099</v>
      </c>
      <c r="I517" s="18">
        <v>5142.7700000000004</v>
      </c>
      <c r="J517" s="25" t="s">
        <v>1290</v>
      </c>
    </row>
    <row r="518" spans="1:10" ht="38.25" x14ac:dyDescent="0.2">
      <c r="A518" s="236"/>
      <c r="B518" s="25">
        <v>68</v>
      </c>
      <c r="C518" s="83" t="s">
        <v>41</v>
      </c>
      <c r="D518" s="85" t="s">
        <v>1637</v>
      </c>
      <c r="E518" s="101" t="s">
        <v>2577</v>
      </c>
      <c r="F518" s="25"/>
      <c r="G518" s="90" t="s">
        <v>3722</v>
      </c>
      <c r="H518" s="91" t="s">
        <v>4100</v>
      </c>
      <c r="I518" s="18">
        <v>1812.09</v>
      </c>
      <c r="J518" s="25" t="s">
        <v>1290</v>
      </c>
    </row>
    <row r="519" spans="1:10" s="6" customFormat="1" x14ac:dyDescent="0.2">
      <c r="A519" s="162"/>
      <c r="B519" s="40"/>
      <c r="C519" s="152"/>
      <c r="D519" s="153"/>
      <c r="E519" s="104"/>
      <c r="F519" s="40"/>
      <c r="G519" s="40"/>
      <c r="H519" s="40"/>
      <c r="I519" s="114"/>
      <c r="J519" s="40"/>
    </row>
    <row r="520" spans="1:10" s="6" customFormat="1" ht="38.25" x14ac:dyDescent="0.2">
      <c r="A520" s="234" t="s">
        <v>4161</v>
      </c>
      <c r="B520" s="40">
        <v>1</v>
      </c>
      <c r="C520" s="152" t="s">
        <v>45</v>
      </c>
      <c r="D520" s="156" t="s">
        <v>1641</v>
      </c>
      <c r="E520" s="104" t="s">
        <v>2550</v>
      </c>
      <c r="F520" s="40"/>
      <c r="G520" s="40" t="s">
        <v>2551</v>
      </c>
      <c r="H520" s="136" t="s">
        <v>2552</v>
      </c>
      <c r="I520" s="114">
        <v>34168.160000000003</v>
      </c>
      <c r="J520" s="40" t="s">
        <v>1290</v>
      </c>
    </row>
    <row r="521" spans="1:10" ht="38.25" x14ac:dyDescent="0.2">
      <c r="A521" s="235"/>
      <c r="B521" s="25">
        <v>2</v>
      </c>
      <c r="C521" s="96" t="s">
        <v>1728</v>
      </c>
      <c r="D521" s="85" t="s">
        <v>1641</v>
      </c>
      <c r="E521" s="101" t="s">
        <v>2633</v>
      </c>
      <c r="F521" s="25"/>
      <c r="G521" s="25" t="s">
        <v>2604</v>
      </c>
      <c r="H521" s="91" t="s">
        <v>2634</v>
      </c>
      <c r="I521" s="18">
        <v>101305.68</v>
      </c>
      <c r="J521" s="54" t="s">
        <v>1290</v>
      </c>
    </row>
    <row r="522" spans="1:10" ht="38.25" x14ac:dyDescent="0.2">
      <c r="A522" s="235"/>
      <c r="B522" s="25">
        <v>3</v>
      </c>
      <c r="C522" s="83" t="s">
        <v>41</v>
      </c>
      <c r="D522" s="85" t="s">
        <v>1641</v>
      </c>
      <c r="E522" s="101" t="s">
        <v>2635</v>
      </c>
      <c r="F522" s="25"/>
      <c r="G522" s="25" t="s">
        <v>2636</v>
      </c>
      <c r="H522" s="91" t="s">
        <v>2637</v>
      </c>
      <c r="I522" s="18">
        <v>3329.24</v>
      </c>
      <c r="J522" s="54" t="s">
        <v>1290</v>
      </c>
    </row>
    <row r="523" spans="1:10" ht="38.25" x14ac:dyDescent="0.2">
      <c r="A523" s="235"/>
      <c r="B523" s="25">
        <v>4</v>
      </c>
      <c r="C523" s="96" t="s">
        <v>53</v>
      </c>
      <c r="D523" s="85" t="s">
        <v>1641</v>
      </c>
      <c r="E523" s="101">
        <v>256</v>
      </c>
      <c r="F523" s="25"/>
      <c r="G523" s="25" t="s">
        <v>2604</v>
      </c>
      <c r="H523" s="91" t="s">
        <v>2653</v>
      </c>
      <c r="I523" s="18">
        <v>2877.53</v>
      </c>
      <c r="J523" s="54" t="s">
        <v>1290</v>
      </c>
    </row>
    <row r="524" spans="1:10" ht="38.25" x14ac:dyDescent="0.2">
      <c r="A524" s="235"/>
      <c r="B524" s="25">
        <v>5</v>
      </c>
      <c r="C524" s="96" t="s">
        <v>53</v>
      </c>
      <c r="D524" s="93" t="s">
        <v>1618</v>
      </c>
      <c r="E524" s="101" t="s">
        <v>2907</v>
      </c>
      <c r="F524" s="25"/>
      <c r="G524" s="25" t="s">
        <v>2889</v>
      </c>
      <c r="H524" s="88" t="s">
        <v>2908</v>
      </c>
      <c r="I524" s="18">
        <f>37734.9+13494.6</f>
        <v>51229.5</v>
      </c>
      <c r="J524" s="54" t="s">
        <v>1290</v>
      </c>
    </row>
    <row r="525" spans="1:10" ht="38.25" x14ac:dyDescent="0.2">
      <c r="A525" s="235"/>
      <c r="B525" s="25">
        <v>6</v>
      </c>
      <c r="C525" s="96" t="s">
        <v>1728</v>
      </c>
      <c r="D525" s="93" t="s">
        <v>1618</v>
      </c>
      <c r="E525" s="101" t="s">
        <v>2909</v>
      </c>
      <c r="F525" s="25"/>
      <c r="G525" s="25" t="s">
        <v>2889</v>
      </c>
      <c r="H525" s="88" t="s">
        <v>2910</v>
      </c>
      <c r="I525" s="18">
        <f>22050+3255.53+55560.5+40454.4+77.62+1325.35+718.83</f>
        <v>123442.23</v>
      </c>
      <c r="J525" s="54" t="s">
        <v>1290</v>
      </c>
    </row>
    <row r="526" spans="1:10" ht="38.25" x14ac:dyDescent="0.2">
      <c r="A526" s="235"/>
      <c r="B526" s="25">
        <v>7</v>
      </c>
      <c r="C526" s="82" t="s">
        <v>45</v>
      </c>
      <c r="D526" s="93" t="s">
        <v>1618</v>
      </c>
      <c r="E526" s="101" t="s">
        <v>2911</v>
      </c>
      <c r="F526" s="25"/>
      <c r="G526" s="25" t="s">
        <v>2889</v>
      </c>
      <c r="H526" s="88" t="s">
        <v>2912</v>
      </c>
      <c r="I526" s="18">
        <f>1506.75+2608.2+2979.9+62.48+22688.4+1370.25+59.22+39.38+374.85</f>
        <v>31689.430000000004</v>
      </c>
      <c r="J526" s="54" t="s">
        <v>1290</v>
      </c>
    </row>
    <row r="527" spans="1:10" ht="38.25" x14ac:dyDescent="0.2">
      <c r="A527" s="235"/>
      <c r="B527" s="25">
        <v>8</v>
      </c>
      <c r="C527" s="83" t="s">
        <v>41</v>
      </c>
      <c r="D527" s="93" t="s">
        <v>1618</v>
      </c>
      <c r="E527" s="101" t="s">
        <v>2635</v>
      </c>
      <c r="F527" s="25"/>
      <c r="G527" s="25" t="s">
        <v>2889</v>
      </c>
      <c r="H527" s="88" t="s">
        <v>2913</v>
      </c>
      <c r="I527" s="18">
        <f>787.5+271.74+1058.4+684.6</f>
        <v>2802.2400000000002</v>
      </c>
      <c r="J527" s="54" t="s">
        <v>1290</v>
      </c>
    </row>
    <row r="528" spans="1:10" ht="38.25" x14ac:dyDescent="0.2">
      <c r="A528" s="235"/>
      <c r="B528" s="25">
        <v>9</v>
      </c>
      <c r="C528" s="95" t="s">
        <v>1713</v>
      </c>
      <c r="D528" s="93" t="s">
        <v>1618</v>
      </c>
      <c r="E528" s="101" t="s">
        <v>2914</v>
      </c>
      <c r="F528" s="25"/>
      <c r="G528" s="25" t="s">
        <v>2889</v>
      </c>
      <c r="H528" s="88" t="s">
        <v>2915</v>
      </c>
      <c r="I528" s="18">
        <f>4641+914.55+201.6+194.04</f>
        <v>5951.1900000000005</v>
      </c>
      <c r="J528" s="54" t="s">
        <v>1290</v>
      </c>
    </row>
    <row r="529" spans="1:10" ht="38.25" x14ac:dyDescent="0.2">
      <c r="A529" s="235"/>
      <c r="B529" s="25">
        <v>10</v>
      </c>
      <c r="C529" s="95" t="s">
        <v>146</v>
      </c>
      <c r="D529" s="93" t="s">
        <v>1692</v>
      </c>
      <c r="E529" s="101" t="s">
        <v>3164</v>
      </c>
      <c r="F529" s="25"/>
      <c r="G529" s="25" t="s">
        <v>2524</v>
      </c>
      <c r="H529" s="88" t="s">
        <v>3165</v>
      </c>
      <c r="I529" s="18">
        <v>2918.16</v>
      </c>
      <c r="J529" s="54" t="s">
        <v>1290</v>
      </c>
    </row>
    <row r="530" spans="1:10" ht="38.25" x14ac:dyDescent="0.2">
      <c r="A530" s="235"/>
      <c r="B530" s="25">
        <v>11</v>
      </c>
      <c r="C530" s="83" t="s">
        <v>41</v>
      </c>
      <c r="D530" s="93" t="s">
        <v>1692</v>
      </c>
      <c r="E530" s="101" t="s">
        <v>2635</v>
      </c>
      <c r="F530" s="25"/>
      <c r="G530" s="25" t="s">
        <v>2524</v>
      </c>
      <c r="H530" s="88" t="s">
        <v>3166</v>
      </c>
      <c r="I530" s="18">
        <v>1166.23</v>
      </c>
      <c r="J530" s="54" t="s">
        <v>1290</v>
      </c>
    </row>
    <row r="531" spans="1:10" ht="38.25" x14ac:dyDescent="0.2">
      <c r="A531" s="235"/>
      <c r="B531" s="25">
        <v>12</v>
      </c>
      <c r="C531" s="82" t="s">
        <v>45</v>
      </c>
      <c r="D531" s="93" t="s">
        <v>1692</v>
      </c>
      <c r="E531" s="101" t="s">
        <v>2911</v>
      </c>
      <c r="F531" s="25"/>
      <c r="G531" s="25" t="s">
        <v>2524</v>
      </c>
      <c r="H531" s="88" t="s">
        <v>3167</v>
      </c>
      <c r="I531" s="18">
        <v>19100.55</v>
      </c>
      <c r="J531" s="54" t="s">
        <v>1290</v>
      </c>
    </row>
    <row r="532" spans="1:10" ht="38.25" x14ac:dyDescent="0.2">
      <c r="A532" s="235"/>
      <c r="B532" s="25">
        <v>13</v>
      </c>
      <c r="C532" s="96" t="s">
        <v>1728</v>
      </c>
      <c r="D532" s="93" t="s">
        <v>1692</v>
      </c>
      <c r="E532" s="101" t="s">
        <v>2909</v>
      </c>
      <c r="F532" s="25"/>
      <c r="G532" s="25" t="s">
        <v>2524</v>
      </c>
      <c r="H532" s="88" t="s">
        <v>3168</v>
      </c>
      <c r="I532" s="18">
        <v>114661.17</v>
      </c>
      <c r="J532" s="54" t="s">
        <v>1290</v>
      </c>
    </row>
    <row r="533" spans="1:10" ht="38.25" x14ac:dyDescent="0.2">
      <c r="A533" s="235"/>
      <c r="B533" s="25">
        <v>14</v>
      </c>
      <c r="C533" s="96" t="s">
        <v>53</v>
      </c>
      <c r="D533" s="93" t="s">
        <v>1692</v>
      </c>
      <c r="E533" s="101">
        <v>265</v>
      </c>
      <c r="F533" s="25"/>
      <c r="G533" s="25" t="s">
        <v>2524</v>
      </c>
      <c r="H533" s="88" t="s">
        <v>3169</v>
      </c>
      <c r="I533" s="18">
        <v>9922.5</v>
      </c>
      <c r="J533" s="54" t="s">
        <v>1290</v>
      </c>
    </row>
    <row r="534" spans="1:10" ht="38.25" x14ac:dyDescent="0.2">
      <c r="A534" s="235"/>
      <c r="B534" s="25">
        <v>15</v>
      </c>
      <c r="C534" s="96" t="s">
        <v>53</v>
      </c>
      <c r="D534" s="93" t="s">
        <v>2788</v>
      </c>
      <c r="E534" s="101">
        <v>265</v>
      </c>
      <c r="F534" s="25"/>
      <c r="G534" s="25" t="s">
        <v>2823</v>
      </c>
      <c r="H534" s="88" t="s">
        <v>3254</v>
      </c>
      <c r="I534" s="18">
        <v>59535</v>
      </c>
      <c r="J534" s="54" t="s">
        <v>1290</v>
      </c>
    </row>
    <row r="535" spans="1:10" ht="38.25" x14ac:dyDescent="0.2">
      <c r="A535" s="235"/>
      <c r="B535" s="25">
        <v>16</v>
      </c>
      <c r="C535" s="96" t="s">
        <v>1728</v>
      </c>
      <c r="D535" s="93" t="s">
        <v>2788</v>
      </c>
      <c r="E535" s="101" t="s">
        <v>3255</v>
      </c>
      <c r="F535" s="25"/>
      <c r="G535" s="25" t="s">
        <v>3196</v>
      </c>
      <c r="H535" s="88" t="s">
        <v>3256</v>
      </c>
      <c r="I535" s="18">
        <v>101561.25</v>
      </c>
      <c r="J535" s="54" t="s">
        <v>1290</v>
      </c>
    </row>
    <row r="536" spans="1:10" ht="38.25" x14ac:dyDescent="0.2">
      <c r="A536" s="235"/>
      <c r="B536" s="25">
        <v>17</v>
      </c>
      <c r="C536" s="82" t="s">
        <v>45</v>
      </c>
      <c r="D536" s="93" t="s">
        <v>2788</v>
      </c>
      <c r="E536" s="101" t="s">
        <v>2911</v>
      </c>
      <c r="F536" s="25"/>
      <c r="G536" s="25" t="s">
        <v>2825</v>
      </c>
      <c r="H536" s="88" t="s">
        <v>3257</v>
      </c>
      <c r="I536" s="18">
        <v>45449.25</v>
      </c>
      <c r="J536" s="54" t="s">
        <v>1290</v>
      </c>
    </row>
    <row r="537" spans="1:10" ht="38.25" x14ac:dyDescent="0.2">
      <c r="A537" s="235"/>
      <c r="B537" s="25">
        <v>18</v>
      </c>
      <c r="C537" s="83" t="s">
        <v>41</v>
      </c>
      <c r="D537" s="93" t="s">
        <v>2788</v>
      </c>
      <c r="E537" s="101" t="s">
        <v>3258</v>
      </c>
      <c r="F537" s="25"/>
      <c r="G537" s="25" t="s">
        <v>2858</v>
      </c>
      <c r="H537" s="88" t="s">
        <v>3259</v>
      </c>
      <c r="I537" s="18">
        <v>2268.84</v>
      </c>
      <c r="J537" s="54" t="s">
        <v>1290</v>
      </c>
    </row>
    <row r="538" spans="1:10" ht="38.25" x14ac:dyDescent="0.2">
      <c r="A538" s="235"/>
      <c r="B538" s="25">
        <v>19</v>
      </c>
      <c r="C538" s="95" t="s">
        <v>146</v>
      </c>
      <c r="D538" s="93" t="s">
        <v>2788</v>
      </c>
      <c r="E538" s="101" t="s">
        <v>3260</v>
      </c>
      <c r="F538" s="25"/>
      <c r="G538" s="25" t="s">
        <v>2879</v>
      </c>
      <c r="H538" s="88" t="s">
        <v>3235</v>
      </c>
      <c r="I538" s="18">
        <v>5325.6</v>
      </c>
      <c r="J538" s="54" t="s">
        <v>1290</v>
      </c>
    </row>
    <row r="539" spans="1:10" ht="38.25" x14ac:dyDescent="0.2">
      <c r="A539" s="235"/>
      <c r="B539" s="25">
        <v>20</v>
      </c>
      <c r="C539" s="96" t="s">
        <v>53</v>
      </c>
      <c r="D539" s="93" t="s">
        <v>2352</v>
      </c>
      <c r="E539" s="101" t="s">
        <v>3372</v>
      </c>
      <c r="F539" s="25"/>
      <c r="G539" s="25" t="s">
        <v>2604</v>
      </c>
      <c r="H539" s="88" t="s">
        <v>3373</v>
      </c>
      <c r="I539" s="18">
        <v>7617.55</v>
      </c>
      <c r="J539" s="54" t="s">
        <v>1290</v>
      </c>
    </row>
    <row r="540" spans="1:10" ht="38.25" x14ac:dyDescent="0.2">
      <c r="A540" s="235"/>
      <c r="B540" s="25">
        <v>21</v>
      </c>
      <c r="C540" s="83" t="s">
        <v>41</v>
      </c>
      <c r="D540" s="93" t="s">
        <v>2352</v>
      </c>
      <c r="E540" s="101" t="s">
        <v>2635</v>
      </c>
      <c r="F540" s="25"/>
      <c r="G540" s="25" t="s">
        <v>2604</v>
      </c>
      <c r="H540" s="88" t="s">
        <v>3373</v>
      </c>
      <c r="I540" s="18">
        <v>909.14</v>
      </c>
      <c r="J540" s="54" t="s">
        <v>1290</v>
      </c>
    </row>
    <row r="541" spans="1:10" ht="38.25" x14ac:dyDescent="0.2">
      <c r="A541" s="235"/>
      <c r="B541" s="25">
        <v>22</v>
      </c>
      <c r="C541" s="82" t="s">
        <v>45</v>
      </c>
      <c r="D541" s="93" t="s">
        <v>2352</v>
      </c>
      <c r="E541" s="101" t="s">
        <v>3374</v>
      </c>
      <c r="F541" s="25"/>
      <c r="G541" s="25" t="s">
        <v>2604</v>
      </c>
      <c r="H541" s="88" t="s">
        <v>3373</v>
      </c>
      <c r="I541" s="18">
        <v>6084.74</v>
      </c>
      <c r="J541" s="54" t="s">
        <v>1290</v>
      </c>
    </row>
    <row r="542" spans="1:10" ht="38.25" x14ac:dyDescent="0.2">
      <c r="A542" s="235"/>
      <c r="B542" s="25">
        <v>23</v>
      </c>
      <c r="C542" s="96" t="s">
        <v>1728</v>
      </c>
      <c r="D542" s="93" t="s">
        <v>2352</v>
      </c>
      <c r="E542" s="101" t="s">
        <v>3375</v>
      </c>
      <c r="F542" s="25"/>
      <c r="G542" s="25" t="s">
        <v>2604</v>
      </c>
      <c r="H542" s="88" t="s">
        <v>3373</v>
      </c>
      <c r="I542" s="18">
        <v>8222.35</v>
      </c>
      <c r="J542" s="54" t="s">
        <v>1290</v>
      </c>
    </row>
    <row r="543" spans="1:10" ht="38.25" x14ac:dyDescent="0.2">
      <c r="A543" s="235"/>
      <c r="B543" s="25">
        <v>24</v>
      </c>
      <c r="C543" s="95" t="s">
        <v>146</v>
      </c>
      <c r="D543" s="93" t="s">
        <v>2352</v>
      </c>
      <c r="E543" s="101" t="s">
        <v>3376</v>
      </c>
      <c r="F543" s="25"/>
      <c r="G543" s="25" t="s">
        <v>2604</v>
      </c>
      <c r="H543" s="88" t="s">
        <v>3373</v>
      </c>
      <c r="I543" s="18">
        <v>401.21</v>
      </c>
      <c r="J543" s="54" t="s">
        <v>1290</v>
      </c>
    </row>
    <row r="544" spans="1:10" ht="38.25" x14ac:dyDescent="0.2">
      <c r="A544" s="235"/>
      <c r="B544" s="25">
        <v>25</v>
      </c>
      <c r="C544" s="95" t="s">
        <v>146</v>
      </c>
      <c r="D544" s="93" t="s">
        <v>1656</v>
      </c>
      <c r="E544" s="101" t="s">
        <v>3394</v>
      </c>
      <c r="F544" s="25"/>
      <c r="G544" s="25" t="s">
        <v>2521</v>
      </c>
      <c r="H544" s="88" t="s">
        <v>3395</v>
      </c>
      <c r="I544" s="18">
        <v>8128.89</v>
      </c>
      <c r="J544" s="54" t="s">
        <v>1290</v>
      </c>
    </row>
    <row r="545" spans="1:10" ht="38.25" x14ac:dyDescent="0.2">
      <c r="A545" s="235"/>
      <c r="B545" s="25">
        <v>26</v>
      </c>
      <c r="C545" s="82" t="s">
        <v>45</v>
      </c>
      <c r="D545" s="93" t="s">
        <v>1656</v>
      </c>
      <c r="E545" s="101" t="s">
        <v>3396</v>
      </c>
      <c r="F545" s="25"/>
      <c r="G545" s="25" t="s">
        <v>2521</v>
      </c>
      <c r="H545" s="88" t="s">
        <v>3397</v>
      </c>
      <c r="I545" s="18">
        <v>47875.07</v>
      </c>
      <c r="J545" s="54" t="s">
        <v>1290</v>
      </c>
    </row>
    <row r="546" spans="1:10" ht="38.25" x14ac:dyDescent="0.2">
      <c r="A546" s="235"/>
      <c r="B546" s="25">
        <v>27</v>
      </c>
      <c r="C546" s="96" t="s">
        <v>1728</v>
      </c>
      <c r="D546" s="93" t="s">
        <v>1656</v>
      </c>
      <c r="E546" s="101" t="s">
        <v>3398</v>
      </c>
      <c r="F546" s="25"/>
      <c r="G546" s="25" t="s">
        <v>2521</v>
      </c>
      <c r="H546" s="88" t="s">
        <v>3399</v>
      </c>
      <c r="I546" s="18">
        <v>58399.06</v>
      </c>
      <c r="J546" s="54" t="s">
        <v>1290</v>
      </c>
    </row>
    <row r="547" spans="1:10" ht="38.25" x14ac:dyDescent="0.2">
      <c r="A547" s="235"/>
      <c r="B547" s="25">
        <v>28</v>
      </c>
      <c r="C547" s="83" t="s">
        <v>41</v>
      </c>
      <c r="D547" s="93" t="s">
        <v>1656</v>
      </c>
      <c r="E547" s="101" t="s">
        <v>3258</v>
      </c>
      <c r="F547" s="25"/>
      <c r="G547" s="25" t="s">
        <v>2521</v>
      </c>
      <c r="H547" s="88" t="s">
        <v>3400</v>
      </c>
      <c r="I547" s="18">
        <v>1926.54</v>
      </c>
      <c r="J547" s="54" t="s">
        <v>1290</v>
      </c>
    </row>
    <row r="548" spans="1:10" ht="38.25" x14ac:dyDescent="0.2">
      <c r="A548" s="235"/>
      <c r="B548" s="25">
        <v>29</v>
      </c>
      <c r="C548" s="96" t="s">
        <v>53</v>
      </c>
      <c r="D548" s="93" t="s">
        <v>1656</v>
      </c>
      <c r="E548" s="101">
        <v>265</v>
      </c>
      <c r="F548" s="25"/>
      <c r="G548" s="25" t="s">
        <v>2521</v>
      </c>
      <c r="H548" s="88" t="s">
        <v>3401</v>
      </c>
      <c r="I548" s="18">
        <v>17860.5</v>
      </c>
      <c r="J548" s="54" t="s">
        <v>1290</v>
      </c>
    </row>
    <row r="549" spans="1:10" ht="38.25" x14ac:dyDescent="0.2">
      <c r="A549" s="235"/>
      <c r="B549" s="25">
        <v>30</v>
      </c>
      <c r="C549" s="96" t="s">
        <v>53</v>
      </c>
      <c r="D549" s="93" t="s">
        <v>2154</v>
      </c>
      <c r="E549" s="101" t="s">
        <v>2907</v>
      </c>
      <c r="F549" s="25"/>
      <c r="G549" s="25" t="s">
        <v>2636</v>
      </c>
      <c r="H549" s="88" t="s">
        <v>3410</v>
      </c>
      <c r="I549" s="18">
        <f>(2548.8+27121.5)*1.25</f>
        <v>37087.875</v>
      </c>
      <c r="J549" s="54" t="s">
        <v>1290</v>
      </c>
    </row>
    <row r="550" spans="1:10" ht="51" x14ac:dyDescent="0.2">
      <c r="A550" s="235"/>
      <c r="B550" s="25">
        <v>31</v>
      </c>
      <c r="C550" s="95" t="s">
        <v>146</v>
      </c>
      <c r="D550" s="93" t="s">
        <v>1641</v>
      </c>
      <c r="E550" s="101" t="s">
        <v>3411</v>
      </c>
      <c r="F550" s="25"/>
      <c r="G550" s="25" t="s">
        <v>2604</v>
      </c>
      <c r="H550" s="88" t="s">
        <v>3412</v>
      </c>
      <c r="I550" s="18">
        <v>3896.97</v>
      </c>
      <c r="J550" s="54" t="s">
        <v>1290</v>
      </c>
    </row>
    <row r="551" spans="1:10" ht="38.25" x14ac:dyDescent="0.2">
      <c r="A551" s="235"/>
      <c r="B551" s="25">
        <v>32</v>
      </c>
      <c r="C551" s="82" t="s">
        <v>45</v>
      </c>
      <c r="D551" s="93" t="s">
        <v>2154</v>
      </c>
      <c r="E551" s="101" t="s">
        <v>3413</v>
      </c>
      <c r="F551" s="25"/>
      <c r="G551" s="25" t="s">
        <v>2858</v>
      </c>
      <c r="H551" s="88" t="s">
        <v>3414</v>
      </c>
      <c r="I551" s="18">
        <f>(779+1483.5+774+4998+21822.6+371.2+802.5+102)*1.25</f>
        <v>38916</v>
      </c>
      <c r="J551" s="54" t="s">
        <v>1290</v>
      </c>
    </row>
    <row r="552" spans="1:10" ht="38.25" x14ac:dyDescent="0.2">
      <c r="A552" s="235"/>
      <c r="B552" s="25">
        <v>33</v>
      </c>
      <c r="C552" s="82" t="s">
        <v>45</v>
      </c>
      <c r="D552" s="93" t="s">
        <v>3466</v>
      </c>
      <c r="E552" s="101">
        <v>272</v>
      </c>
      <c r="F552" s="25"/>
      <c r="G552" s="25" t="s">
        <v>3477</v>
      </c>
      <c r="H552" s="88" t="s">
        <v>3478</v>
      </c>
      <c r="I552" s="18">
        <f>(180*1.19)*1.05</f>
        <v>224.91</v>
      </c>
      <c r="J552" s="54" t="s">
        <v>1290</v>
      </c>
    </row>
    <row r="553" spans="1:10" ht="38.25" x14ac:dyDescent="0.2">
      <c r="A553" s="235"/>
      <c r="B553" s="25">
        <v>34</v>
      </c>
      <c r="C553" s="83" t="s">
        <v>41</v>
      </c>
      <c r="D553" s="93" t="s">
        <v>2154</v>
      </c>
      <c r="E553" s="101">
        <v>285</v>
      </c>
      <c r="F553" s="25"/>
      <c r="G553" s="25" t="s">
        <v>3279</v>
      </c>
      <c r="H553" s="88" t="s">
        <v>3479</v>
      </c>
      <c r="I553" s="18">
        <f>460*1.05</f>
        <v>483</v>
      </c>
      <c r="J553" s="54" t="s">
        <v>1290</v>
      </c>
    </row>
    <row r="554" spans="1:10" ht="38.25" x14ac:dyDescent="0.2">
      <c r="A554" s="235"/>
      <c r="B554" s="25">
        <v>35</v>
      </c>
      <c r="C554" s="95" t="s">
        <v>146</v>
      </c>
      <c r="D554" s="93" t="s">
        <v>2554</v>
      </c>
      <c r="E554" s="101" t="s">
        <v>3557</v>
      </c>
      <c r="F554" s="25"/>
      <c r="G554" s="25" t="s">
        <v>3199</v>
      </c>
      <c r="H554" s="88" t="s">
        <v>3558</v>
      </c>
      <c r="I554" s="18">
        <v>13529.57</v>
      </c>
      <c r="J554" s="54" t="s">
        <v>1290</v>
      </c>
    </row>
    <row r="555" spans="1:10" ht="38.25" x14ac:dyDescent="0.2">
      <c r="A555" s="235"/>
      <c r="B555" s="25">
        <v>36</v>
      </c>
      <c r="C555" s="83" t="s">
        <v>41</v>
      </c>
      <c r="D555" s="93" t="s">
        <v>2554</v>
      </c>
      <c r="E555" s="101" t="s">
        <v>3258</v>
      </c>
      <c r="F555" s="25"/>
      <c r="G555" s="25" t="s">
        <v>2823</v>
      </c>
      <c r="H555" s="88" t="s">
        <v>3559</v>
      </c>
      <c r="I555" s="18">
        <v>2073.86</v>
      </c>
      <c r="J555" s="54" t="s">
        <v>1290</v>
      </c>
    </row>
    <row r="556" spans="1:10" ht="38.25" x14ac:dyDescent="0.2">
      <c r="A556" s="235"/>
      <c r="B556" s="25">
        <v>37</v>
      </c>
      <c r="C556" s="96" t="s">
        <v>1728</v>
      </c>
      <c r="D556" s="93" t="s">
        <v>2554</v>
      </c>
      <c r="E556" s="101" t="s">
        <v>3560</v>
      </c>
      <c r="F556" s="25"/>
      <c r="G556" s="25" t="s">
        <v>2823</v>
      </c>
      <c r="H556" s="88" t="s">
        <v>3561</v>
      </c>
      <c r="I556" s="18">
        <v>153302.81</v>
      </c>
      <c r="J556" s="54" t="s">
        <v>1290</v>
      </c>
    </row>
    <row r="557" spans="1:10" ht="38.25" x14ac:dyDescent="0.2">
      <c r="A557" s="235"/>
      <c r="B557" s="25">
        <v>38</v>
      </c>
      <c r="C557" s="96" t="s">
        <v>53</v>
      </c>
      <c r="D557" s="93" t="s">
        <v>2554</v>
      </c>
      <c r="E557" s="101" t="s">
        <v>3372</v>
      </c>
      <c r="F557" s="25"/>
      <c r="G557" s="25" t="s">
        <v>2956</v>
      </c>
      <c r="H557" s="88" t="s">
        <v>3562</v>
      </c>
      <c r="I557" s="18">
        <v>86651.36</v>
      </c>
      <c r="J557" s="54" t="s">
        <v>1290</v>
      </c>
    </row>
    <row r="558" spans="1:10" ht="38.25" x14ac:dyDescent="0.2">
      <c r="A558" s="235"/>
      <c r="B558" s="25">
        <v>39</v>
      </c>
      <c r="C558" s="82" t="s">
        <v>45</v>
      </c>
      <c r="D558" s="93" t="s">
        <v>2554</v>
      </c>
      <c r="E558" s="101" t="s">
        <v>3374</v>
      </c>
      <c r="F558" s="25"/>
      <c r="G558" s="25" t="s">
        <v>2956</v>
      </c>
      <c r="H558" s="88" t="s">
        <v>3563</v>
      </c>
      <c r="I558" s="18">
        <v>52586.27</v>
      </c>
      <c r="J558" s="54" t="s">
        <v>1290</v>
      </c>
    </row>
    <row r="559" spans="1:10" ht="38.25" x14ac:dyDescent="0.2">
      <c r="A559" s="235"/>
      <c r="B559" s="25">
        <v>40</v>
      </c>
      <c r="C559" s="95" t="s">
        <v>146</v>
      </c>
      <c r="D559" s="93" t="s">
        <v>2142</v>
      </c>
      <c r="E559" s="101" t="s">
        <v>3564</v>
      </c>
      <c r="F559" s="25"/>
      <c r="G559" s="25" t="s">
        <v>2825</v>
      </c>
      <c r="H559" s="88" t="s">
        <v>3565</v>
      </c>
      <c r="I559" s="18">
        <v>2742.08</v>
      </c>
      <c r="J559" s="54" t="s">
        <v>1290</v>
      </c>
    </row>
    <row r="560" spans="1:10" ht="38.25" x14ac:dyDescent="0.2">
      <c r="A560" s="235"/>
      <c r="B560" s="25">
        <v>41</v>
      </c>
      <c r="C560" s="96" t="s">
        <v>53</v>
      </c>
      <c r="D560" s="93" t="s">
        <v>2142</v>
      </c>
      <c r="E560" s="101" t="s">
        <v>2907</v>
      </c>
      <c r="F560" s="25"/>
      <c r="G560" s="25" t="s">
        <v>2825</v>
      </c>
      <c r="H560" s="88" t="s">
        <v>3566</v>
      </c>
      <c r="I560" s="18">
        <v>19036.5</v>
      </c>
      <c r="J560" s="54" t="s">
        <v>1290</v>
      </c>
    </row>
    <row r="561" spans="1:10" ht="38.25" x14ac:dyDescent="0.2">
      <c r="A561" s="235"/>
      <c r="B561" s="25">
        <v>42</v>
      </c>
      <c r="C561" s="83" t="s">
        <v>41</v>
      </c>
      <c r="D561" s="93" t="s">
        <v>2142</v>
      </c>
      <c r="E561" s="101" t="s">
        <v>3567</v>
      </c>
      <c r="F561" s="25"/>
      <c r="G561" s="25" t="s">
        <v>2825</v>
      </c>
      <c r="H561" s="88" t="s">
        <v>3568</v>
      </c>
      <c r="I561" s="18">
        <v>2471.2800000000002</v>
      </c>
      <c r="J561" s="54" t="s">
        <v>1290</v>
      </c>
    </row>
    <row r="562" spans="1:10" ht="38.25" x14ac:dyDescent="0.2">
      <c r="A562" s="235"/>
      <c r="B562" s="25">
        <v>43</v>
      </c>
      <c r="C562" s="82" t="s">
        <v>45</v>
      </c>
      <c r="D562" s="93" t="s">
        <v>2142</v>
      </c>
      <c r="E562" s="101" t="s">
        <v>3396</v>
      </c>
      <c r="F562" s="25"/>
      <c r="G562" s="25" t="s">
        <v>2825</v>
      </c>
      <c r="H562" s="88" t="s">
        <v>3569</v>
      </c>
      <c r="I562" s="18">
        <v>37529.06</v>
      </c>
      <c r="J562" s="54" t="s">
        <v>1290</v>
      </c>
    </row>
    <row r="563" spans="1:10" ht="38.25" x14ac:dyDescent="0.2">
      <c r="A563" s="235"/>
      <c r="B563" s="25">
        <v>44</v>
      </c>
      <c r="C563" s="96" t="s">
        <v>1728</v>
      </c>
      <c r="D563" s="93" t="s">
        <v>2142</v>
      </c>
      <c r="E563" s="101" t="s">
        <v>3570</v>
      </c>
      <c r="F563" s="25"/>
      <c r="G563" s="25" t="s">
        <v>2825</v>
      </c>
      <c r="H563" s="88" t="s">
        <v>3571</v>
      </c>
      <c r="I563" s="18">
        <v>47533.5</v>
      </c>
      <c r="J563" s="54" t="s">
        <v>1290</v>
      </c>
    </row>
    <row r="564" spans="1:10" ht="38.25" x14ac:dyDescent="0.2">
      <c r="A564" s="235"/>
      <c r="B564" s="25">
        <v>45</v>
      </c>
      <c r="C564" s="96" t="s">
        <v>1728</v>
      </c>
      <c r="D564" s="93" t="s">
        <v>2383</v>
      </c>
      <c r="E564" s="101" t="s">
        <v>3732</v>
      </c>
      <c r="F564" s="25"/>
      <c r="G564" s="25" t="s">
        <v>3327</v>
      </c>
      <c r="H564" s="88" t="s">
        <v>3733</v>
      </c>
      <c r="I564" s="18">
        <v>17725.18</v>
      </c>
      <c r="J564" s="54" t="s">
        <v>1290</v>
      </c>
    </row>
    <row r="565" spans="1:10" ht="38.25" x14ac:dyDescent="0.2">
      <c r="A565" s="235"/>
      <c r="B565" s="25">
        <v>46</v>
      </c>
      <c r="C565" s="95" t="s">
        <v>146</v>
      </c>
      <c r="D565" s="93" t="s">
        <v>2383</v>
      </c>
      <c r="E565" s="101" t="s">
        <v>3734</v>
      </c>
      <c r="F565" s="25"/>
      <c r="G565" s="25" t="s">
        <v>3199</v>
      </c>
      <c r="H565" s="88" t="s">
        <v>3558</v>
      </c>
      <c r="I565" s="18">
        <v>12010.74</v>
      </c>
      <c r="J565" s="54" t="s">
        <v>1290</v>
      </c>
    </row>
    <row r="566" spans="1:10" ht="38.25" x14ac:dyDescent="0.2">
      <c r="A566" s="235"/>
      <c r="B566" s="25">
        <v>47</v>
      </c>
      <c r="C566" s="82" t="s">
        <v>45</v>
      </c>
      <c r="D566" s="93" t="s">
        <v>2383</v>
      </c>
      <c r="E566" s="101" t="s">
        <v>3735</v>
      </c>
      <c r="F566" s="25"/>
      <c r="G566" s="25" t="s">
        <v>2889</v>
      </c>
      <c r="H566" s="88" t="s">
        <v>2912</v>
      </c>
      <c r="I566" s="18">
        <v>2190.3000000000002</v>
      </c>
      <c r="J566" s="54" t="s">
        <v>1290</v>
      </c>
    </row>
    <row r="567" spans="1:10" ht="38.25" x14ac:dyDescent="0.2">
      <c r="A567" s="235"/>
      <c r="B567" s="25">
        <v>48</v>
      </c>
      <c r="C567" s="83" t="s">
        <v>41</v>
      </c>
      <c r="D567" s="93" t="s">
        <v>2383</v>
      </c>
      <c r="E567" s="101" t="s">
        <v>3258</v>
      </c>
      <c r="F567" s="25"/>
      <c r="G567" s="25" t="s">
        <v>2956</v>
      </c>
      <c r="H567" s="88" t="s">
        <v>3736</v>
      </c>
      <c r="I567" s="18">
        <v>2770.84</v>
      </c>
      <c r="J567" s="54" t="s">
        <v>1290</v>
      </c>
    </row>
    <row r="568" spans="1:10" ht="38.25" x14ac:dyDescent="0.2">
      <c r="A568" s="235"/>
      <c r="B568" s="25">
        <v>49</v>
      </c>
      <c r="C568" s="96" t="s">
        <v>53</v>
      </c>
      <c r="D568" s="93" t="s">
        <v>1731</v>
      </c>
      <c r="E568" s="101"/>
      <c r="F568" s="25"/>
      <c r="G568" s="25" t="s">
        <v>3647</v>
      </c>
      <c r="H568" s="88" t="s">
        <v>3774</v>
      </c>
      <c r="I568" s="18">
        <f>9676.8*1.05</f>
        <v>10160.64</v>
      </c>
      <c r="J568" s="54" t="s">
        <v>1290</v>
      </c>
    </row>
    <row r="569" spans="1:10" ht="38.25" x14ac:dyDescent="0.2">
      <c r="A569" s="235"/>
      <c r="B569" s="25">
        <v>50</v>
      </c>
      <c r="C569" s="95" t="s">
        <v>146</v>
      </c>
      <c r="D569" s="93" t="s">
        <v>2154</v>
      </c>
      <c r="E569" s="101" t="s">
        <v>3825</v>
      </c>
      <c r="F569" s="25"/>
      <c r="G569" s="25" t="s">
        <v>3199</v>
      </c>
      <c r="H569" s="88" t="s">
        <v>3558</v>
      </c>
      <c r="I569" s="18">
        <f>2615.2*1.05</f>
        <v>2745.96</v>
      </c>
      <c r="J569" s="54" t="s">
        <v>1290</v>
      </c>
    </row>
    <row r="570" spans="1:10" ht="38.25" x14ac:dyDescent="0.2">
      <c r="A570" s="235"/>
      <c r="B570" s="25">
        <v>51</v>
      </c>
      <c r="C570" s="82" t="s">
        <v>45</v>
      </c>
      <c r="D570" s="93" t="s">
        <v>2259</v>
      </c>
      <c r="E570" s="101" t="s">
        <v>3374</v>
      </c>
      <c r="F570" s="25"/>
      <c r="G570" s="25" t="s">
        <v>2551</v>
      </c>
      <c r="H570" s="88" t="s">
        <v>3838</v>
      </c>
      <c r="I570" s="18">
        <v>5911.5</v>
      </c>
      <c r="J570" s="54" t="s">
        <v>1290</v>
      </c>
    </row>
    <row r="571" spans="1:10" ht="38.25" x14ac:dyDescent="0.2">
      <c r="A571" s="235"/>
      <c r="B571" s="25">
        <v>52</v>
      </c>
      <c r="C571" s="96" t="s">
        <v>1728</v>
      </c>
      <c r="D571" s="93" t="s">
        <v>2259</v>
      </c>
      <c r="E571" s="101" t="s">
        <v>3839</v>
      </c>
      <c r="F571" s="25"/>
      <c r="G571" s="25" t="s">
        <v>2578</v>
      </c>
      <c r="H571" s="88" t="s">
        <v>3840</v>
      </c>
      <c r="I571" s="18">
        <v>58730.7</v>
      </c>
      <c r="J571" s="54" t="s">
        <v>1290</v>
      </c>
    </row>
    <row r="572" spans="1:10" ht="38.25" x14ac:dyDescent="0.2">
      <c r="A572" s="235"/>
      <c r="B572" s="25">
        <v>53</v>
      </c>
      <c r="C572" s="95" t="s">
        <v>146</v>
      </c>
      <c r="D572" s="93" t="s">
        <v>2259</v>
      </c>
      <c r="E572" s="101" t="s">
        <v>3841</v>
      </c>
      <c r="F572" s="25"/>
      <c r="G572" s="25" t="s">
        <v>2524</v>
      </c>
      <c r="H572" s="88" t="s">
        <v>3165</v>
      </c>
      <c r="I572" s="18">
        <v>1638</v>
      </c>
      <c r="J572" s="54" t="s">
        <v>1290</v>
      </c>
    </row>
    <row r="573" spans="1:10" ht="38.25" x14ac:dyDescent="0.2">
      <c r="A573" s="235"/>
      <c r="B573" s="25">
        <v>54</v>
      </c>
      <c r="C573" s="82" t="s">
        <v>45</v>
      </c>
      <c r="D573" s="93" t="s">
        <v>1769</v>
      </c>
      <c r="E573" s="101" t="s">
        <v>3863</v>
      </c>
      <c r="F573" s="25"/>
      <c r="G573" s="25" t="s">
        <v>2636</v>
      </c>
      <c r="H573" s="88" t="s">
        <v>3864</v>
      </c>
      <c r="I573" s="18">
        <v>10577.56</v>
      </c>
      <c r="J573" s="54" t="s">
        <v>1290</v>
      </c>
    </row>
    <row r="574" spans="1:10" ht="38.25" x14ac:dyDescent="0.2">
      <c r="A574" s="235"/>
      <c r="B574" s="25">
        <v>55</v>
      </c>
      <c r="C574" s="96" t="s">
        <v>1728</v>
      </c>
      <c r="D574" s="93" t="s">
        <v>1769</v>
      </c>
      <c r="E574" s="101" t="s">
        <v>3865</v>
      </c>
      <c r="F574" s="25"/>
      <c r="G574" s="25" t="s">
        <v>2661</v>
      </c>
      <c r="H574" s="88" t="s">
        <v>3866</v>
      </c>
      <c r="I574" s="18">
        <v>9264.06</v>
      </c>
      <c r="J574" s="54" t="s">
        <v>1290</v>
      </c>
    </row>
    <row r="575" spans="1:10" ht="38.25" x14ac:dyDescent="0.2">
      <c r="A575" s="235"/>
      <c r="B575" s="25">
        <v>56</v>
      </c>
      <c r="C575" s="83" t="s">
        <v>41</v>
      </c>
      <c r="D575" s="93" t="s">
        <v>1769</v>
      </c>
      <c r="E575" s="101" t="s">
        <v>2635</v>
      </c>
      <c r="F575" s="25"/>
      <c r="G575" s="25" t="s">
        <v>3484</v>
      </c>
      <c r="H575" s="88" t="s">
        <v>3867</v>
      </c>
      <c r="I575" s="18">
        <v>88745.62</v>
      </c>
      <c r="J575" s="54" t="s">
        <v>1290</v>
      </c>
    </row>
    <row r="576" spans="1:10" ht="38.25" x14ac:dyDescent="0.2">
      <c r="A576" s="235"/>
      <c r="B576" s="25">
        <v>57</v>
      </c>
      <c r="C576" s="96" t="s">
        <v>53</v>
      </c>
      <c r="D576" s="93" t="s">
        <v>1769</v>
      </c>
      <c r="E576" s="101">
        <v>264</v>
      </c>
      <c r="F576" s="25"/>
      <c r="G576" s="25" t="s">
        <v>2661</v>
      </c>
      <c r="H576" s="88" t="s">
        <v>3868</v>
      </c>
      <c r="I576" s="18">
        <v>569504.09</v>
      </c>
      <c r="J576" s="54" t="s">
        <v>1290</v>
      </c>
    </row>
    <row r="577" spans="1:10" ht="38.25" x14ac:dyDescent="0.2">
      <c r="A577" s="235"/>
      <c r="B577" s="25">
        <v>58</v>
      </c>
      <c r="C577" s="95" t="s">
        <v>146</v>
      </c>
      <c r="D577" s="93" t="s">
        <v>1769</v>
      </c>
      <c r="E577" s="101" t="s">
        <v>3869</v>
      </c>
      <c r="F577" s="25"/>
      <c r="G577" s="25" t="s">
        <v>2636</v>
      </c>
      <c r="H577" s="88" t="s">
        <v>3870</v>
      </c>
      <c r="I577" s="18">
        <v>5765.97</v>
      </c>
      <c r="J577" s="54" t="s">
        <v>1290</v>
      </c>
    </row>
    <row r="578" spans="1:10" ht="38.25" x14ac:dyDescent="0.2">
      <c r="A578" s="235"/>
      <c r="B578" s="25">
        <v>59</v>
      </c>
      <c r="C578" s="82" t="s">
        <v>45</v>
      </c>
      <c r="D578" s="93" t="s">
        <v>1731</v>
      </c>
      <c r="E578" s="101"/>
      <c r="F578" s="25"/>
      <c r="G578" s="25" t="s">
        <v>3647</v>
      </c>
      <c r="H578" s="88" t="s">
        <v>3774</v>
      </c>
      <c r="I578" s="18">
        <f>6969.1*1.05</f>
        <v>7317.5550000000003</v>
      </c>
      <c r="J578" s="54" t="s">
        <v>1290</v>
      </c>
    </row>
    <row r="579" spans="1:10" ht="38.25" x14ac:dyDescent="0.2">
      <c r="A579" s="235"/>
      <c r="B579" s="25">
        <v>60</v>
      </c>
      <c r="C579" s="82" t="s">
        <v>45</v>
      </c>
      <c r="D579" s="93" t="s">
        <v>1749</v>
      </c>
      <c r="E579" s="101" t="s">
        <v>3374</v>
      </c>
      <c r="F579" s="25"/>
      <c r="G579" s="25" t="s">
        <v>3711</v>
      </c>
      <c r="H579" s="88" t="s">
        <v>3907</v>
      </c>
      <c r="I579" s="18">
        <f>35.62+4627.88+7389.9+5553.45+16499.65+9121.98+7228.83+4382.28+97.65+1606.5+357</f>
        <v>56900.74</v>
      </c>
      <c r="J579" s="54" t="s">
        <v>1290</v>
      </c>
    </row>
    <row r="580" spans="1:10" ht="38.25" x14ac:dyDescent="0.2">
      <c r="A580" s="235"/>
      <c r="B580" s="25">
        <v>61</v>
      </c>
      <c r="C580" s="83" t="s">
        <v>41</v>
      </c>
      <c r="D580" s="93" t="s">
        <v>1749</v>
      </c>
      <c r="E580" s="101" t="s">
        <v>2635</v>
      </c>
      <c r="F580" s="25"/>
      <c r="G580" s="25" t="s">
        <v>2956</v>
      </c>
      <c r="H580" s="88" t="s">
        <v>3736</v>
      </c>
      <c r="I580" s="18">
        <f>3386.25+190.22+3078.18+1454.78</f>
        <v>8109.4299999999994</v>
      </c>
      <c r="J580" s="54" t="s">
        <v>1290</v>
      </c>
    </row>
    <row r="581" spans="1:10" ht="38.25" x14ac:dyDescent="0.2">
      <c r="A581" s="235"/>
      <c r="B581" s="25">
        <v>62</v>
      </c>
      <c r="C581" s="95" t="s">
        <v>146</v>
      </c>
      <c r="D581" s="93" t="s">
        <v>1749</v>
      </c>
      <c r="E581" s="101" t="s">
        <v>3908</v>
      </c>
      <c r="F581" s="25"/>
      <c r="G581" s="25" t="s">
        <v>3711</v>
      </c>
      <c r="H581" s="88" t="s">
        <v>3909</v>
      </c>
      <c r="I581" s="18">
        <f>2880.15+50.4+113.4+146.16+28735.98+16.8+1761.38</f>
        <v>33704.269999999997</v>
      </c>
      <c r="J581" s="54" t="s">
        <v>1290</v>
      </c>
    </row>
    <row r="582" spans="1:10" ht="38.25" x14ac:dyDescent="0.2">
      <c r="A582" s="235"/>
      <c r="B582" s="25">
        <v>63</v>
      </c>
      <c r="C582" s="96" t="s">
        <v>1728</v>
      </c>
      <c r="D582" s="93" t="s">
        <v>1749</v>
      </c>
      <c r="E582" s="101" t="s">
        <v>3910</v>
      </c>
      <c r="F582" s="25"/>
      <c r="G582" s="25" t="s">
        <v>2956</v>
      </c>
      <c r="H582" s="88" t="s">
        <v>3911</v>
      </c>
      <c r="I582" s="18">
        <f>2434.8+1984.5+26044.2+41160+37923.65+339.11+1078.39+718.83</f>
        <v>111683.48</v>
      </c>
      <c r="J582" s="54" t="s">
        <v>1290</v>
      </c>
    </row>
    <row r="583" spans="1:10" ht="38.25" x14ac:dyDescent="0.2">
      <c r="A583" s="235"/>
      <c r="B583" s="25">
        <v>64</v>
      </c>
      <c r="C583" s="96" t="s">
        <v>53</v>
      </c>
      <c r="D583" s="93" t="s">
        <v>1749</v>
      </c>
      <c r="E583" s="101">
        <v>265</v>
      </c>
      <c r="F583" s="25"/>
      <c r="G583" s="25" t="s">
        <v>2956</v>
      </c>
      <c r="H583" s="88" t="s">
        <v>3562</v>
      </c>
      <c r="I583" s="18">
        <v>54573.75</v>
      </c>
      <c r="J583" s="54" t="s">
        <v>1290</v>
      </c>
    </row>
    <row r="584" spans="1:10" ht="38.25" x14ac:dyDescent="0.2">
      <c r="A584" s="235"/>
      <c r="B584" s="25">
        <v>65</v>
      </c>
      <c r="C584" s="96" t="s">
        <v>1728</v>
      </c>
      <c r="D584" s="93" t="s">
        <v>2560</v>
      </c>
      <c r="E584" s="101" t="s">
        <v>3919</v>
      </c>
      <c r="F584" s="25"/>
      <c r="G584" s="25" t="s">
        <v>2823</v>
      </c>
      <c r="H584" s="88" t="s">
        <v>3561</v>
      </c>
      <c r="I584" s="18">
        <f>16132.93+15229.2+8316.67+77.61</f>
        <v>39756.410000000003</v>
      </c>
      <c r="J584" s="54" t="s">
        <v>1290</v>
      </c>
    </row>
    <row r="585" spans="1:10" ht="38.25" x14ac:dyDescent="0.2">
      <c r="A585" s="235"/>
      <c r="B585" s="25">
        <v>66</v>
      </c>
      <c r="C585" s="95" t="s">
        <v>146</v>
      </c>
      <c r="D585" s="93" t="s">
        <v>1644</v>
      </c>
      <c r="E585" s="101" t="s">
        <v>3841</v>
      </c>
      <c r="F585" s="25"/>
      <c r="G585" s="25" t="s">
        <v>2958</v>
      </c>
      <c r="H585" s="88" t="s">
        <v>3970</v>
      </c>
      <c r="I585" s="18">
        <v>15777.51</v>
      </c>
      <c r="J585" s="54" t="s">
        <v>1290</v>
      </c>
    </row>
    <row r="586" spans="1:10" ht="38.25" x14ac:dyDescent="0.2">
      <c r="A586" s="235"/>
      <c r="B586" s="25">
        <v>67</v>
      </c>
      <c r="C586" s="96" t="s">
        <v>1728</v>
      </c>
      <c r="D586" s="93" t="s">
        <v>1644</v>
      </c>
      <c r="E586" s="101" t="s">
        <v>3839</v>
      </c>
      <c r="F586" s="25"/>
      <c r="G586" s="25" t="s">
        <v>2524</v>
      </c>
      <c r="H586" s="88" t="s">
        <v>3168</v>
      </c>
      <c r="I586" s="18">
        <v>274803.27</v>
      </c>
      <c r="J586" s="54" t="s">
        <v>1290</v>
      </c>
    </row>
    <row r="587" spans="1:10" ht="38.25" x14ac:dyDescent="0.2">
      <c r="A587" s="235"/>
      <c r="B587" s="25">
        <v>68</v>
      </c>
      <c r="C587" s="82" t="s">
        <v>45</v>
      </c>
      <c r="D587" s="93" t="s">
        <v>1644</v>
      </c>
      <c r="E587" s="101" t="s">
        <v>3374</v>
      </c>
      <c r="F587" s="25"/>
      <c r="G587" s="25" t="s">
        <v>3327</v>
      </c>
      <c r="H587" s="88" t="s">
        <v>3971</v>
      </c>
      <c r="I587" s="18">
        <v>86977.44</v>
      </c>
      <c r="J587" s="54" t="s">
        <v>1290</v>
      </c>
    </row>
    <row r="588" spans="1:10" ht="38.25" x14ac:dyDescent="0.2">
      <c r="A588" s="235"/>
      <c r="B588" s="25">
        <v>69</v>
      </c>
      <c r="C588" s="96" t="s">
        <v>53</v>
      </c>
      <c r="D588" s="93" t="s">
        <v>1644</v>
      </c>
      <c r="E588" s="101" t="s">
        <v>3372</v>
      </c>
      <c r="F588" s="25"/>
      <c r="G588" s="25" t="s">
        <v>2524</v>
      </c>
      <c r="H588" s="88" t="s">
        <v>3169</v>
      </c>
      <c r="I588" s="18">
        <v>93615.48</v>
      </c>
      <c r="J588" s="54" t="s">
        <v>1290</v>
      </c>
    </row>
    <row r="589" spans="1:10" ht="38.25" x14ac:dyDescent="0.2">
      <c r="A589" s="235"/>
      <c r="B589" s="25">
        <v>70</v>
      </c>
      <c r="C589" s="83" t="s">
        <v>41</v>
      </c>
      <c r="D589" s="93" t="s">
        <v>1644</v>
      </c>
      <c r="E589" s="101" t="s">
        <v>2635</v>
      </c>
      <c r="F589" s="25"/>
      <c r="G589" s="25" t="s">
        <v>2956</v>
      </c>
      <c r="H589" s="88" t="s">
        <v>3736</v>
      </c>
      <c r="I589" s="18">
        <v>3557.4</v>
      </c>
      <c r="J589" s="54" t="s">
        <v>1290</v>
      </c>
    </row>
    <row r="590" spans="1:10" ht="38.25" x14ac:dyDescent="0.2">
      <c r="A590" s="235"/>
      <c r="B590" s="25">
        <v>71</v>
      </c>
      <c r="C590" s="96" t="s">
        <v>53</v>
      </c>
      <c r="D590" s="93" t="s">
        <v>1731</v>
      </c>
      <c r="E590" s="101"/>
      <c r="F590" s="25"/>
      <c r="G590" s="25" t="s">
        <v>3647</v>
      </c>
      <c r="H590" s="88" t="s">
        <v>3774</v>
      </c>
      <c r="I590" s="18">
        <f>9676.8*1.05</f>
        <v>10160.64</v>
      </c>
      <c r="J590" s="54" t="s">
        <v>1290</v>
      </c>
    </row>
    <row r="591" spans="1:10" ht="38.25" x14ac:dyDescent="0.2">
      <c r="A591" s="235"/>
      <c r="B591" s="25">
        <v>72</v>
      </c>
      <c r="C591" s="82" t="s">
        <v>45</v>
      </c>
      <c r="D591" s="93" t="s">
        <v>1625</v>
      </c>
      <c r="E591" s="101" t="s">
        <v>3972</v>
      </c>
      <c r="F591" s="25"/>
      <c r="G591" s="25" t="s">
        <v>3973</v>
      </c>
      <c r="H591" s="88" t="s">
        <v>3974</v>
      </c>
      <c r="I591" s="18">
        <f>53.42+3314.85+3984.75+2979.9+199.92+61911.36+609+8088.47+292.95+1181.25+642.6</f>
        <v>83258.47</v>
      </c>
      <c r="J591" s="54" t="s">
        <v>1290</v>
      </c>
    </row>
    <row r="592" spans="1:10" ht="38.25" x14ac:dyDescent="0.2">
      <c r="A592" s="235"/>
      <c r="B592" s="25">
        <v>73</v>
      </c>
      <c r="C592" s="83" t="s">
        <v>41</v>
      </c>
      <c r="D592" s="93" t="s">
        <v>1625</v>
      </c>
      <c r="E592" s="101" t="s">
        <v>2635</v>
      </c>
      <c r="F592" s="25"/>
      <c r="G592" s="25" t="s">
        <v>3975</v>
      </c>
      <c r="H592" s="88" t="s">
        <v>3976</v>
      </c>
      <c r="I592" s="18">
        <f>787.5+3125.01+1323+855.75</f>
        <v>6091.26</v>
      </c>
      <c r="J592" s="54" t="s">
        <v>1290</v>
      </c>
    </row>
    <row r="593" spans="1:10" ht="38.25" x14ac:dyDescent="0.2">
      <c r="A593" s="235"/>
      <c r="B593" s="25">
        <v>74</v>
      </c>
      <c r="C593" s="96" t="s">
        <v>1728</v>
      </c>
      <c r="D593" s="93" t="s">
        <v>1625</v>
      </c>
      <c r="E593" s="101" t="s">
        <v>3977</v>
      </c>
      <c r="F593" s="25"/>
      <c r="G593" s="25" t="s">
        <v>3978</v>
      </c>
      <c r="H593" s="88" t="s">
        <v>3979</v>
      </c>
      <c r="I593" s="18">
        <f>1543.19+42225.75+127182.51+129654+65856+785.4+5556.6+1334.97</f>
        <v>374138.42</v>
      </c>
      <c r="J593" s="54" t="s">
        <v>1290</v>
      </c>
    </row>
    <row r="594" spans="1:10" ht="38.25" x14ac:dyDescent="0.2">
      <c r="A594" s="235"/>
      <c r="B594" s="25">
        <v>75</v>
      </c>
      <c r="C594" s="95" t="s">
        <v>146</v>
      </c>
      <c r="D594" s="93" t="s">
        <v>1625</v>
      </c>
      <c r="E594" s="101" t="s">
        <v>3980</v>
      </c>
      <c r="F594" s="25"/>
      <c r="G594" s="25" t="s">
        <v>3981</v>
      </c>
      <c r="H594" s="88" t="s">
        <v>3982</v>
      </c>
      <c r="I594" s="18">
        <f>1815.45+252+529.2+15410.85+2471.7</f>
        <v>20479.2</v>
      </c>
      <c r="J594" s="54" t="s">
        <v>1290</v>
      </c>
    </row>
    <row r="595" spans="1:10" s="6" customFormat="1" ht="38.25" x14ac:dyDescent="0.2">
      <c r="A595" s="235"/>
      <c r="B595" s="40">
        <v>76</v>
      </c>
      <c r="C595" s="152" t="s">
        <v>53</v>
      </c>
      <c r="D595" s="153" t="s">
        <v>1625</v>
      </c>
      <c r="E595" s="104" t="s">
        <v>2907</v>
      </c>
      <c r="F595" s="40"/>
      <c r="G595" s="40" t="s">
        <v>3983</v>
      </c>
      <c r="H595" s="136" t="s">
        <v>3984</v>
      </c>
      <c r="I595" s="114">
        <f>16869.72+85333.5</f>
        <v>102203.22</v>
      </c>
      <c r="J595" s="40" t="s">
        <v>1290</v>
      </c>
    </row>
    <row r="596" spans="1:10" s="6" customFormat="1" ht="38.25" x14ac:dyDescent="0.2">
      <c r="A596" s="235"/>
      <c r="B596" s="40">
        <v>77</v>
      </c>
      <c r="C596" s="152" t="s">
        <v>53</v>
      </c>
      <c r="D596" s="153" t="s">
        <v>4033</v>
      </c>
      <c r="E596" s="104" t="s">
        <v>3372</v>
      </c>
      <c r="F596" s="40"/>
      <c r="G596" s="40" t="s">
        <v>3477</v>
      </c>
      <c r="H596" s="136" t="s">
        <v>4047</v>
      </c>
      <c r="I596" s="114">
        <f>189*1.05</f>
        <v>198.45000000000002</v>
      </c>
      <c r="J596" s="40" t="s">
        <v>1290</v>
      </c>
    </row>
    <row r="597" spans="1:10" s="6" customFormat="1" ht="38.25" x14ac:dyDescent="0.2">
      <c r="A597" s="235"/>
      <c r="B597" s="40">
        <v>78</v>
      </c>
      <c r="C597" s="152" t="s">
        <v>45</v>
      </c>
      <c r="D597" s="153" t="s">
        <v>4033</v>
      </c>
      <c r="E597" s="104" t="s">
        <v>3972</v>
      </c>
      <c r="F597" s="40"/>
      <c r="G597" s="40" t="s">
        <v>3477</v>
      </c>
      <c r="H597" s="136" t="s">
        <v>4048</v>
      </c>
      <c r="I597" s="114">
        <f>3828*1.05</f>
        <v>4019.4</v>
      </c>
      <c r="J597" s="40" t="s">
        <v>1290</v>
      </c>
    </row>
    <row r="598" spans="1:10" s="6" customFormat="1" ht="38.25" x14ac:dyDescent="0.2">
      <c r="A598" s="235"/>
      <c r="B598" s="40">
        <v>79</v>
      </c>
      <c r="C598" s="152" t="s">
        <v>1728</v>
      </c>
      <c r="D598" s="153" t="s">
        <v>4033</v>
      </c>
      <c r="E598" s="104" t="s">
        <v>3910</v>
      </c>
      <c r="F598" s="40"/>
      <c r="G598" s="40" t="s">
        <v>3477</v>
      </c>
      <c r="H598" s="136" t="s">
        <v>4049</v>
      </c>
      <c r="I598" s="114">
        <f>224*1.05</f>
        <v>235.20000000000002</v>
      </c>
      <c r="J598" s="40" t="s">
        <v>1290</v>
      </c>
    </row>
    <row r="599" spans="1:10" s="6" customFormat="1" ht="38.25" x14ac:dyDescent="0.2">
      <c r="A599" s="235"/>
      <c r="B599" s="40">
        <v>80</v>
      </c>
      <c r="C599" s="152" t="s">
        <v>45</v>
      </c>
      <c r="D599" s="153" t="s">
        <v>1637</v>
      </c>
      <c r="E599" s="104" t="s">
        <v>4074</v>
      </c>
      <c r="F599" s="40"/>
      <c r="G599" s="40" t="s">
        <v>3652</v>
      </c>
      <c r="H599" s="136" t="s">
        <v>4075</v>
      </c>
      <c r="I599" s="114">
        <v>2660.6</v>
      </c>
      <c r="J599" s="40" t="s">
        <v>1290</v>
      </c>
    </row>
    <row r="600" spans="1:10" s="6" customFormat="1" ht="38.25" x14ac:dyDescent="0.2">
      <c r="A600" s="235"/>
      <c r="B600" s="40">
        <v>81</v>
      </c>
      <c r="C600" s="152" t="s">
        <v>1728</v>
      </c>
      <c r="D600" s="153" t="s">
        <v>1637</v>
      </c>
      <c r="E600" s="104" t="s">
        <v>2909</v>
      </c>
      <c r="F600" s="40"/>
      <c r="G600" s="40" t="s">
        <v>3477</v>
      </c>
      <c r="H600" s="136" t="s">
        <v>4049</v>
      </c>
      <c r="I600" s="114">
        <v>191161.95</v>
      </c>
      <c r="J600" s="40" t="s">
        <v>1290</v>
      </c>
    </row>
    <row r="601" spans="1:10" s="6" customFormat="1" ht="38.25" x14ac:dyDescent="0.2">
      <c r="A601" s="235"/>
      <c r="B601" s="40">
        <v>82</v>
      </c>
      <c r="C601" s="152" t="s">
        <v>53</v>
      </c>
      <c r="D601" s="153" t="s">
        <v>1637</v>
      </c>
      <c r="E601" s="104">
        <v>265</v>
      </c>
      <c r="F601" s="40"/>
      <c r="G601" s="40" t="s">
        <v>3248</v>
      </c>
      <c r="H601" s="136" t="s">
        <v>4076</v>
      </c>
      <c r="I601" s="114">
        <v>33736.5</v>
      </c>
      <c r="J601" s="40" t="s">
        <v>1290</v>
      </c>
    </row>
    <row r="602" spans="1:10" s="6" customFormat="1" ht="38.25" x14ac:dyDescent="0.2">
      <c r="A602" s="235"/>
      <c r="B602" s="40">
        <v>83</v>
      </c>
      <c r="C602" s="154" t="s">
        <v>41</v>
      </c>
      <c r="D602" s="153" t="s">
        <v>1637</v>
      </c>
      <c r="E602" s="104" t="s">
        <v>2635</v>
      </c>
      <c r="F602" s="40"/>
      <c r="G602" s="40" t="s">
        <v>3722</v>
      </c>
      <c r="H602" s="136" t="s">
        <v>4077</v>
      </c>
      <c r="I602" s="114">
        <v>2660.6</v>
      </c>
      <c r="J602" s="40" t="s">
        <v>1290</v>
      </c>
    </row>
    <row r="603" spans="1:10" s="6" customFormat="1" ht="38.25" x14ac:dyDescent="0.2">
      <c r="A603" s="236"/>
      <c r="B603" s="40">
        <v>84</v>
      </c>
      <c r="C603" s="154" t="s">
        <v>146</v>
      </c>
      <c r="D603" s="153" t="s">
        <v>1637</v>
      </c>
      <c r="E603" s="104" t="s">
        <v>3557</v>
      </c>
      <c r="F603" s="40"/>
      <c r="G603" s="40" t="s">
        <v>4068</v>
      </c>
      <c r="H603" s="136" t="s">
        <v>4078</v>
      </c>
      <c r="I603" s="114">
        <v>6638.1</v>
      </c>
      <c r="J603" s="40" t="s">
        <v>1290</v>
      </c>
    </row>
    <row r="604" spans="1:10" s="6" customFormat="1" ht="38.25" x14ac:dyDescent="0.2">
      <c r="A604" s="218" t="s">
        <v>4162</v>
      </c>
      <c r="B604" s="40">
        <v>1</v>
      </c>
      <c r="C604" s="154" t="s">
        <v>41</v>
      </c>
      <c r="D604" s="156" t="s">
        <v>1641</v>
      </c>
      <c r="E604" s="104" t="s">
        <v>2660</v>
      </c>
      <c r="F604" s="40"/>
      <c r="G604" s="40" t="s">
        <v>2661</v>
      </c>
      <c r="H604" s="136" t="s">
        <v>2662</v>
      </c>
      <c r="I604" s="114">
        <v>580.86</v>
      </c>
      <c r="J604" s="40" t="s">
        <v>1290</v>
      </c>
    </row>
    <row r="605" spans="1:10" s="6" customFormat="1" ht="38.25" x14ac:dyDescent="0.2">
      <c r="A605" s="219"/>
      <c r="B605" s="40">
        <v>2</v>
      </c>
      <c r="C605" s="152" t="s">
        <v>148</v>
      </c>
      <c r="D605" s="156" t="s">
        <v>1641</v>
      </c>
      <c r="E605" s="104">
        <v>341</v>
      </c>
      <c r="F605" s="40"/>
      <c r="G605" s="40" t="s">
        <v>2551</v>
      </c>
      <c r="H605" s="136" t="s">
        <v>2663</v>
      </c>
      <c r="I605" s="114">
        <v>311.85000000000002</v>
      </c>
      <c r="J605" s="40" t="s">
        <v>1290</v>
      </c>
    </row>
    <row r="606" spans="1:10" s="6" customFormat="1" ht="38.25" x14ac:dyDescent="0.2">
      <c r="A606" s="219"/>
      <c r="B606" s="40">
        <v>3</v>
      </c>
      <c r="C606" s="152" t="s">
        <v>53</v>
      </c>
      <c r="D606" s="156" t="s">
        <v>1641</v>
      </c>
      <c r="E606" s="104">
        <v>338</v>
      </c>
      <c r="F606" s="40"/>
      <c r="G606" s="40" t="s">
        <v>2551</v>
      </c>
      <c r="H606" s="136" t="s">
        <v>2664</v>
      </c>
      <c r="I606" s="114">
        <v>58179.3</v>
      </c>
      <c r="J606" s="40" t="s">
        <v>1290</v>
      </c>
    </row>
    <row r="607" spans="1:10" s="6" customFormat="1" ht="63.75" x14ac:dyDescent="0.2">
      <c r="A607" s="219"/>
      <c r="B607" s="40">
        <v>4</v>
      </c>
      <c r="C607" s="152" t="s">
        <v>45</v>
      </c>
      <c r="D607" s="156" t="s">
        <v>1641</v>
      </c>
      <c r="E607" s="104" t="s">
        <v>2665</v>
      </c>
      <c r="F607" s="40"/>
      <c r="G607" s="40" t="s">
        <v>2551</v>
      </c>
      <c r="H607" s="104" t="s">
        <v>2666</v>
      </c>
      <c r="I607" s="114">
        <v>2225.79</v>
      </c>
      <c r="J607" s="40" t="s">
        <v>1290</v>
      </c>
    </row>
    <row r="608" spans="1:10" s="6" customFormat="1" ht="38.25" x14ac:dyDescent="0.2">
      <c r="A608" s="219"/>
      <c r="B608" s="40">
        <v>5</v>
      </c>
      <c r="C608" s="152" t="s">
        <v>53</v>
      </c>
      <c r="D608" s="156" t="s">
        <v>2788</v>
      </c>
      <c r="E608" s="104">
        <v>338</v>
      </c>
      <c r="F608" s="40"/>
      <c r="G608" s="40" t="s">
        <v>2823</v>
      </c>
      <c r="H608" s="136" t="s">
        <v>2881</v>
      </c>
      <c r="I608" s="114">
        <v>133696.5</v>
      </c>
      <c r="J608" s="40" t="s">
        <v>1290</v>
      </c>
    </row>
    <row r="609" spans="1:10" s="6" customFormat="1" ht="38.25" x14ac:dyDescent="0.2">
      <c r="A609" s="219"/>
      <c r="B609" s="40">
        <v>6</v>
      </c>
      <c r="C609" s="152" t="s">
        <v>45</v>
      </c>
      <c r="D609" s="156" t="s">
        <v>2788</v>
      </c>
      <c r="E609" s="104" t="s">
        <v>2882</v>
      </c>
      <c r="F609" s="40"/>
      <c r="G609" s="40" t="s">
        <v>2825</v>
      </c>
      <c r="H609" s="136" t="s">
        <v>2883</v>
      </c>
      <c r="I609" s="114">
        <v>3434.55</v>
      </c>
      <c r="J609" s="40" t="s">
        <v>1290</v>
      </c>
    </row>
    <row r="610" spans="1:10" s="6" customFormat="1" ht="38.25" x14ac:dyDescent="0.2">
      <c r="A610" s="219"/>
      <c r="B610" s="40">
        <v>7</v>
      </c>
      <c r="C610" s="154" t="s">
        <v>41</v>
      </c>
      <c r="D610" s="156" t="s">
        <v>2788</v>
      </c>
      <c r="E610" s="104">
        <v>351</v>
      </c>
      <c r="F610" s="40"/>
      <c r="G610" s="40" t="s">
        <v>2858</v>
      </c>
      <c r="H610" s="136" t="s">
        <v>2884</v>
      </c>
      <c r="I610" s="114">
        <v>1086.75</v>
      </c>
      <c r="J610" s="40" t="s">
        <v>1290</v>
      </c>
    </row>
    <row r="611" spans="1:10" s="6" customFormat="1" ht="38.25" x14ac:dyDescent="0.2">
      <c r="A611" s="219"/>
      <c r="B611" s="40">
        <v>8</v>
      </c>
      <c r="C611" s="152" t="s">
        <v>148</v>
      </c>
      <c r="D611" s="156" t="s">
        <v>2788</v>
      </c>
      <c r="E611" s="104">
        <v>341</v>
      </c>
      <c r="F611" s="40"/>
      <c r="G611" s="40" t="s">
        <v>2825</v>
      </c>
      <c r="H611" s="136" t="s">
        <v>2885</v>
      </c>
      <c r="I611" s="114">
        <v>567</v>
      </c>
      <c r="J611" s="40" t="s">
        <v>1290</v>
      </c>
    </row>
    <row r="612" spans="1:10" s="6" customFormat="1" ht="38.25" x14ac:dyDescent="0.2">
      <c r="A612" s="219"/>
      <c r="B612" s="40">
        <v>9</v>
      </c>
      <c r="C612" s="154" t="s">
        <v>2519</v>
      </c>
      <c r="D612" s="156" t="s">
        <v>2788</v>
      </c>
      <c r="E612" s="104" t="s">
        <v>2886</v>
      </c>
      <c r="F612" s="40"/>
      <c r="G612" s="40" t="s">
        <v>2879</v>
      </c>
      <c r="H612" s="136" t="s">
        <v>2887</v>
      </c>
      <c r="I612" s="114">
        <v>14172.28</v>
      </c>
      <c r="J612" s="40" t="s">
        <v>1290</v>
      </c>
    </row>
    <row r="613" spans="1:10" s="6" customFormat="1" ht="38.25" x14ac:dyDescent="0.2">
      <c r="A613" s="219"/>
      <c r="B613" s="40">
        <v>10</v>
      </c>
      <c r="C613" s="152" t="s">
        <v>45</v>
      </c>
      <c r="D613" s="156" t="s">
        <v>1618</v>
      </c>
      <c r="E613" s="104" t="s">
        <v>2888</v>
      </c>
      <c r="F613" s="40"/>
      <c r="G613" s="40" t="s">
        <v>2889</v>
      </c>
      <c r="H613" s="136" t="s">
        <v>2890</v>
      </c>
      <c r="I613" s="114">
        <f>154.35+176.4+970.2+1575+1455.3+1260+128.52</f>
        <v>5719.77</v>
      </c>
      <c r="J613" s="40" t="s">
        <v>1290</v>
      </c>
    </row>
    <row r="614" spans="1:10" s="6" customFormat="1" ht="38.25" x14ac:dyDescent="0.2">
      <c r="A614" s="219"/>
      <c r="B614" s="40">
        <v>11</v>
      </c>
      <c r="C614" s="154" t="s">
        <v>41</v>
      </c>
      <c r="D614" s="156" t="s">
        <v>1618</v>
      </c>
      <c r="E614" s="104" t="s">
        <v>2891</v>
      </c>
      <c r="F614" s="40"/>
      <c r="G614" s="40" t="s">
        <v>2889</v>
      </c>
      <c r="H614" s="136" t="s">
        <v>2892</v>
      </c>
      <c r="I614" s="114">
        <f>217.35+217.35</f>
        <v>434.7</v>
      </c>
      <c r="J614" s="40" t="s">
        <v>1290</v>
      </c>
    </row>
    <row r="615" spans="1:10" s="6" customFormat="1" ht="38.25" x14ac:dyDescent="0.2">
      <c r="A615" s="219"/>
      <c r="B615" s="40">
        <v>12</v>
      </c>
      <c r="C615" s="154" t="s">
        <v>2519</v>
      </c>
      <c r="D615" s="156" t="s">
        <v>1618</v>
      </c>
      <c r="E615" s="104" t="s">
        <v>2893</v>
      </c>
      <c r="F615" s="40"/>
      <c r="G615" s="40" t="s">
        <v>2889</v>
      </c>
      <c r="H615" s="136" t="s">
        <v>2894</v>
      </c>
      <c r="I615" s="114">
        <f>1023.75+105+441+410.13+937.57+166.32+556.25+366.35+96.18+2639.7</f>
        <v>6742.25</v>
      </c>
      <c r="J615" s="40" t="s">
        <v>1290</v>
      </c>
    </row>
    <row r="616" spans="1:10" s="6" customFormat="1" ht="38.25" x14ac:dyDescent="0.2">
      <c r="A616" s="219"/>
      <c r="B616" s="40">
        <v>13</v>
      </c>
      <c r="C616" s="152" t="s">
        <v>53</v>
      </c>
      <c r="D616" s="156" t="s">
        <v>1618</v>
      </c>
      <c r="E616" s="104">
        <v>338</v>
      </c>
      <c r="F616" s="40"/>
      <c r="G616" s="40" t="s">
        <v>2889</v>
      </c>
      <c r="H616" s="136" t="s">
        <v>2895</v>
      </c>
      <c r="I616" s="114">
        <v>76285.649999999994</v>
      </c>
      <c r="J616" s="40" t="s">
        <v>1290</v>
      </c>
    </row>
    <row r="617" spans="1:10" s="6" customFormat="1" ht="38.25" x14ac:dyDescent="0.2">
      <c r="A617" s="219"/>
      <c r="B617" s="40">
        <v>14</v>
      </c>
      <c r="C617" s="154" t="s">
        <v>148</v>
      </c>
      <c r="D617" s="156" t="s">
        <v>1618</v>
      </c>
      <c r="E617" s="104">
        <v>341</v>
      </c>
      <c r="F617" s="40"/>
      <c r="G617" s="40" t="s">
        <v>2889</v>
      </c>
      <c r="H617" s="136" t="s">
        <v>2896</v>
      </c>
      <c r="I617" s="114">
        <v>141.75</v>
      </c>
      <c r="J617" s="40" t="s">
        <v>1290</v>
      </c>
    </row>
    <row r="618" spans="1:10" s="6" customFormat="1" ht="38.25" x14ac:dyDescent="0.2">
      <c r="A618" s="219"/>
      <c r="B618" s="40">
        <v>15</v>
      </c>
      <c r="C618" s="154" t="s">
        <v>148</v>
      </c>
      <c r="D618" s="156" t="s">
        <v>1656</v>
      </c>
      <c r="E618" s="104">
        <v>341</v>
      </c>
      <c r="F618" s="40"/>
      <c r="G618" s="40" t="s">
        <v>2604</v>
      </c>
      <c r="H618" s="136" t="s">
        <v>3157</v>
      </c>
      <c r="I618" s="114">
        <v>595.35</v>
      </c>
      <c r="J618" s="40" t="s">
        <v>1290</v>
      </c>
    </row>
    <row r="619" spans="1:10" s="6" customFormat="1" ht="38.25" x14ac:dyDescent="0.2">
      <c r="A619" s="219"/>
      <c r="B619" s="40">
        <v>16</v>
      </c>
      <c r="C619" s="152" t="s">
        <v>53</v>
      </c>
      <c r="D619" s="156" t="s">
        <v>1656</v>
      </c>
      <c r="E619" s="104">
        <v>338</v>
      </c>
      <c r="F619" s="40"/>
      <c r="G619" s="40" t="s">
        <v>2604</v>
      </c>
      <c r="H619" s="136" t="s">
        <v>3158</v>
      </c>
      <c r="I619" s="114">
        <v>23593.5</v>
      </c>
      <c r="J619" s="40" t="s">
        <v>1290</v>
      </c>
    </row>
    <row r="620" spans="1:10" s="6" customFormat="1" ht="38.25" x14ac:dyDescent="0.2">
      <c r="A620" s="219"/>
      <c r="B620" s="40">
        <v>17</v>
      </c>
      <c r="C620" s="154" t="s">
        <v>41</v>
      </c>
      <c r="D620" s="156" t="s">
        <v>1656</v>
      </c>
      <c r="E620" s="104">
        <v>354</v>
      </c>
      <c r="F620" s="40"/>
      <c r="G620" s="40" t="s">
        <v>2604</v>
      </c>
      <c r="H620" s="136" t="s">
        <v>3159</v>
      </c>
      <c r="I620" s="114">
        <v>130.41</v>
      </c>
      <c r="J620" s="40" t="s">
        <v>1290</v>
      </c>
    </row>
    <row r="621" spans="1:10" s="6" customFormat="1" ht="38.25" x14ac:dyDescent="0.2">
      <c r="A621" s="219"/>
      <c r="B621" s="40">
        <v>18</v>
      </c>
      <c r="C621" s="152" t="s">
        <v>45</v>
      </c>
      <c r="D621" s="156" t="s">
        <v>1656</v>
      </c>
      <c r="E621" s="104" t="s">
        <v>3160</v>
      </c>
      <c r="F621" s="40"/>
      <c r="G621" s="40" t="s">
        <v>2604</v>
      </c>
      <c r="H621" s="136" t="s">
        <v>3161</v>
      </c>
      <c r="I621" s="114">
        <v>2914.41</v>
      </c>
      <c r="J621" s="40" t="s">
        <v>1290</v>
      </c>
    </row>
    <row r="622" spans="1:10" s="6" customFormat="1" ht="38.25" x14ac:dyDescent="0.2">
      <c r="A622" s="219"/>
      <c r="B622" s="40">
        <v>19</v>
      </c>
      <c r="C622" s="154" t="s">
        <v>2519</v>
      </c>
      <c r="D622" s="156" t="s">
        <v>1656</v>
      </c>
      <c r="E622" s="104" t="s">
        <v>3162</v>
      </c>
      <c r="F622" s="40"/>
      <c r="G622" s="40" t="s">
        <v>2604</v>
      </c>
      <c r="H622" s="136" t="s">
        <v>3163</v>
      </c>
      <c r="I622" s="114">
        <v>10720.59</v>
      </c>
      <c r="J622" s="40" t="s">
        <v>1290</v>
      </c>
    </row>
    <row r="623" spans="1:10" s="6" customFormat="1" ht="38.25" x14ac:dyDescent="0.2">
      <c r="A623" s="219"/>
      <c r="B623" s="40">
        <v>20</v>
      </c>
      <c r="C623" s="154" t="s">
        <v>2519</v>
      </c>
      <c r="D623" s="156" t="s">
        <v>1692</v>
      </c>
      <c r="E623" s="104" t="s">
        <v>3227</v>
      </c>
      <c r="F623" s="40"/>
      <c r="G623" s="40" t="s">
        <v>2654</v>
      </c>
      <c r="H623" s="136" t="s">
        <v>3228</v>
      </c>
      <c r="I623" s="114">
        <v>5401.36</v>
      </c>
      <c r="J623" s="40" t="s">
        <v>1290</v>
      </c>
    </row>
    <row r="624" spans="1:10" s="6" customFormat="1" ht="38.25" x14ac:dyDescent="0.2">
      <c r="A624" s="219"/>
      <c r="B624" s="40">
        <v>21</v>
      </c>
      <c r="C624" s="152" t="s">
        <v>53</v>
      </c>
      <c r="D624" s="156" t="s">
        <v>1692</v>
      </c>
      <c r="E624" s="104">
        <v>338</v>
      </c>
      <c r="F624" s="40"/>
      <c r="G624" s="40" t="s">
        <v>2654</v>
      </c>
      <c r="H624" s="136" t="s">
        <v>3229</v>
      </c>
      <c r="I624" s="114">
        <v>15729</v>
      </c>
      <c r="J624" s="40" t="s">
        <v>1290</v>
      </c>
    </row>
    <row r="625" spans="1:10" s="6" customFormat="1" ht="38.25" x14ac:dyDescent="0.2">
      <c r="A625" s="219"/>
      <c r="B625" s="40">
        <v>22</v>
      </c>
      <c r="C625" s="154" t="s">
        <v>148</v>
      </c>
      <c r="D625" s="156" t="s">
        <v>1692</v>
      </c>
      <c r="E625" s="104">
        <v>341</v>
      </c>
      <c r="F625" s="40"/>
      <c r="G625" s="40" t="s">
        <v>2654</v>
      </c>
      <c r="H625" s="136" t="s">
        <v>3230</v>
      </c>
      <c r="I625" s="114">
        <v>127.58</v>
      </c>
      <c r="J625" s="40" t="s">
        <v>1290</v>
      </c>
    </row>
    <row r="626" spans="1:10" s="6" customFormat="1" ht="38.25" x14ac:dyDescent="0.2">
      <c r="A626" s="219"/>
      <c r="B626" s="40">
        <v>23</v>
      </c>
      <c r="C626" s="154" t="s">
        <v>41</v>
      </c>
      <c r="D626" s="156" t="s">
        <v>1692</v>
      </c>
      <c r="E626" s="104">
        <v>351</v>
      </c>
      <c r="F626" s="40"/>
      <c r="G626" s="40" t="s">
        <v>2654</v>
      </c>
      <c r="H626" s="136" t="s">
        <v>3231</v>
      </c>
      <c r="I626" s="114">
        <v>195.62</v>
      </c>
      <c r="J626" s="40" t="s">
        <v>1290</v>
      </c>
    </row>
    <row r="627" spans="1:10" s="6" customFormat="1" ht="38.25" x14ac:dyDescent="0.2">
      <c r="A627" s="219"/>
      <c r="B627" s="40">
        <v>24</v>
      </c>
      <c r="C627" s="152" t="s">
        <v>45</v>
      </c>
      <c r="D627" s="156" t="s">
        <v>1692</v>
      </c>
      <c r="E627" s="104" t="s">
        <v>3232</v>
      </c>
      <c r="F627" s="40"/>
      <c r="G627" s="40" t="s">
        <v>2654</v>
      </c>
      <c r="H627" s="136" t="s">
        <v>3233</v>
      </c>
      <c r="I627" s="114">
        <v>662.34</v>
      </c>
      <c r="J627" s="40" t="s">
        <v>1290</v>
      </c>
    </row>
    <row r="628" spans="1:10" s="6" customFormat="1" ht="38.25" x14ac:dyDescent="0.2">
      <c r="A628" s="219"/>
      <c r="B628" s="40">
        <v>25</v>
      </c>
      <c r="C628" s="152" t="s">
        <v>53</v>
      </c>
      <c r="D628" s="156" t="s">
        <v>2560</v>
      </c>
      <c r="E628" s="104">
        <v>338</v>
      </c>
      <c r="F628" s="40"/>
      <c r="G628" s="40" t="s">
        <v>3279</v>
      </c>
      <c r="H628" s="136" t="s">
        <v>3280</v>
      </c>
      <c r="I628" s="114">
        <v>32165.8</v>
      </c>
      <c r="J628" s="40" t="s">
        <v>1290</v>
      </c>
    </row>
    <row r="629" spans="1:10" s="6" customFormat="1" ht="38.25" x14ac:dyDescent="0.2">
      <c r="A629" s="219"/>
      <c r="B629" s="40">
        <v>26</v>
      </c>
      <c r="C629" s="152" t="s">
        <v>53</v>
      </c>
      <c r="D629" s="156" t="s">
        <v>3334</v>
      </c>
      <c r="E629" s="104">
        <v>338</v>
      </c>
      <c r="F629" s="40"/>
      <c r="G629" s="40" t="s">
        <v>2654</v>
      </c>
      <c r="H629" s="136" t="s">
        <v>3229</v>
      </c>
      <c r="I629" s="114">
        <f>40446*1.25</f>
        <v>50557.5</v>
      </c>
      <c r="J629" s="40" t="s">
        <v>1290</v>
      </c>
    </row>
    <row r="630" spans="1:10" s="6" customFormat="1" ht="38.25" x14ac:dyDescent="0.2">
      <c r="A630" s="219"/>
      <c r="B630" s="40">
        <v>27</v>
      </c>
      <c r="C630" s="152" t="s">
        <v>45</v>
      </c>
      <c r="D630" s="156" t="s">
        <v>3334</v>
      </c>
      <c r="E630" s="104" t="s">
        <v>3369</v>
      </c>
      <c r="F630" s="40"/>
      <c r="G630" s="40" t="s">
        <v>2654</v>
      </c>
      <c r="H630" s="136" t="s">
        <v>3233</v>
      </c>
      <c r="I630" s="114">
        <f>(16.8+100.8+249)*1.25</f>
        <v>458.25</v>
      </c>
      <c r="J630" s="40" t="s">
        <v>1290</v>
      </c>
    </row>
    <row r="631" spans="1:10" s="6" customFormat="1" ht="38.25" x14ac:dyDescent="0.2">
      <c r="A631" s="219"/>
      <c r="B631" s="40">
        <v>28</v>
      </c>
      <c r="C631" s="154" t="s">
        <v>41</v>
      </c>
      <c r="D631" s="156" t="s">
        <v>3334</v>
      </c>
      <c r="E631" s="104" t="s">
        <v>3370</v>
      </c>
      <c r="F631" s="40"/>
      <c r="G631" s="40" t="s">
        <v>2654</v>
      </c>
      <c r="H631" s="136" t="s">
        <v>3231</v>
      </c>
      <c r="I631" s="114">
        <f>(41.4+69.6)*1.25</f>
        <v>138.75</v>
      </c>
      <c r="J631" s="40" t="s">
        <v>1290</v>
      </c>
    </row>
    <row r="632" spans="1:10" s="6" customFormat="1" ht="38.25" x14ac:dyDescent="0.2">
      <c r="A632" s="219"/>
      <c r="B632" s="40">
        <v>29</v>
      </c>
      <c r="C632" s="154" t="s">
        <v>148</v>
      </c>
      <c r="D632" s="156" t="s">
        <v>3334</v>
      </c>
      <c r="E632" s="104">
        <v>341</v>
      </c>
      <c r="F632" s="40"/>
      <c r="G632" s="40" t="s">
        <v>2654</v>
      </c>
      <c r="H632" s="136" t="s">
        <v>3230</v>
      </c>
      <c r="I632" s="114">
        <f>27*1.25</f>
        <v>33.75</v>
      </c>
      <c r="J632" s="40" t="s">
        <v>1290</v>
      </c>
    </row>
    <row r="633" spans="1:10" s="6" customFormat="1" ht="38.25" x14ac:dyDescent="0.2">
      <c r="A633" s="219"/>
      <c r="B633" s="40">
        <v>30</v>
      </c>
      <c r="C633" s="154" t="s">
        <v>2519</v>
      </c>
      <c r="D633" s="156" t="s">
        <v>3334</v>
      </c>
      <c r="E633" s="104" t="s">
        <v>3371</v>
      </c>
      <c r="F633" s="40"/>
      <c r="G633" s="40" t="s">
        <v>2654</v>
      </c>
      <c r="H633" s="136" t="s">
        <v>3228</v>
      </c>
      <c r="I633" s="114">
        <f>(675+396+96.32+139.56+73.28+57)*1.25</f>
        <v>1796.4499999999998</v>
      </c>
      <c r="J633" s="40" t="s">
        <v>1290</v>
      </c>
    </row>
    <row r="634" spans="1:10" s="6" customFormat="1" ht="38.25" x14ac:dyDescent="0.2">
      <c r="A634" s="219"/>
      <c r="B634" s="40">
        <v>31</v>
      </c>
      <c r="C634" s="152" t="s">
        <v>53</v>
      </c>
      <c r="D634" s="153" t="s">
        <v>2352</v>
      </c>
      <c r="E634" s="104">
        <v>338</v>
      </c>
      <c r="F634" s="40"/>
      <c r="G634" s="40" t="s">
        <v>2510</v>
      </c>
      <c r="H634" s="104" t="s">
        <v>2573</v>
      </c>
      <c r="I634" s="114">
        <v>5623.12</v>
      </c>
      <c r="J634" s="40" t="s">
        <v>1290</v>
      </c>
    </row>
    <row r="635" spans="1:10" s="6" customFormat="1" ht="38.25" x14ac:dyDescent="0.2">
      <c r="A635" s="219"/>
      <c r="B635" s="40">
        <v>32</v>
      </c>
      <c r="C635" s="152" t="s">
        <v>41</v>
      </c>
      <c r="D635" s="153" t="s">
        <v>2352</v>
      </c>
      <c r="E635" s="104" t="s">
        <v>3403</v>
      </c>
      <c r="F635" s="40"/>
      <c r="G635" s="40" t="s">
        <v>2604</v>
      </c>
      <c r="H635" s="104" t="s">
        <v>3373</v>
      </c>
      <c r="I635" s="114">
        <v>116.56</v>
      </c>
      <c r="J635" s="40" t="s">
        <v>1290</v>
      </c>
    </row>
    <row r="636" spans="1:10" s="6" customFormat="1" ht="38.25" x14ac:dyDescent="0.2">
      <c r="A636" s="219"/>
      <c r="B636" s="40">
        <v>33</v>
      </c>
      <c r="C636" s="152" t="s">
        <v>41</v>
      </c>
      <c r="D636" s="153" t="s">
        <v>2154</v>
      </c>
      <c r="E636" s="104">
        <v>351</v>
      </c>
      <c r="F636" s="40"/>
      <c r="G636" s="40" t="s">
        <v>2858</v>
      </c>
      <c r="H636" s="104" t="s">
        <v>3404</v>
      </c>
      <c r="I636" s="114">
        <f>62.1*1.25</f>
        <v>77.625</v>
      </c>
      <c r="J636" s="40" t="s">
        <v>1290</v>
      </c>
    </row>
    <row r="637" spans="1:10" s="6" customFormat="1" ht="38.25" x14ac:dyDescent="0.2">
      <c r="A637" s="219"/>
      <c r="B637" s="40">
        <v>34</v>
      </c>
      <c r="C637" s="152" t="s">
        <v>45</v>
      </c>
      <c r="D637" s="153" t="s">
        <v>2352</v>
      </c>
      <c r="E637" s="104" t="s">
        <v>3405</v>
      </c>
      <c r="F637" s="40"/>
      <c r="G637" s="40" t="s">
        <v>2510</v>
      </c>
      <c r="H637" s="104" t="s">
        <v>2573</v>
      </c>
      <c r="I637" s="114">
        <v>551.33000000000004</v>
      </c>
      <c r="J637" s="40" t="s">
        <v>1290</v>
      </c>
    </row>
    <row r="638" spans="1:10" s="6" customFormat="1" ht="38.25" x14ac:dyDescent="0.2">
      <c r="A638" s="219"/>
      <c r="B638" s="40">
        <v>35</v>
      </c>
      <c r="C638" s="152" t="s">
        <v>45</v>
      </c>
      <c r="D638" s="153" t="s">
        <v>2154</v>
      </c>
      <c r="E638" s="104" t="s">
        <v>3406</v>
      </c>
      <c r="F638" s="40"/>
      <c r="G638" s="40" t="s">
        <v>2578</v>
      </c>
      <c r="H638" s="104" t="s">
        <v>3407</v>
      </c>
      <c r="I638" s="114">
        <f>(141.12+42+4.4+2.5+504+528)*1.25</f>
        <v>1527.5250000000001</v>
      </c>
      <c r="J638" s="40" t="s">
        <v>1290</v>
      </c>
    </row>
    <row r="639" spans="1:10" s="6" customFormat="1" ht="38.25" x14ac:dyDescent="0.2">
      <c r="A639" s="219"/>
      <c r="B639" s="40">
        <v>36</v>
      </c>
      <c r="C639" s="154" t="s">
        <v>148</v>
      </c>
      <c r="D639" s="153" t="s">
        <v>2154</v>
      </c>
      <c r="E639" s="104">
        <v>341</v>
      </c>
      <c r="F639" s="40"/>
      <c r="G639" s="40" t="s">
        <v>2636</v>
      </c>
      <c r="H639" s="104" t="s">
        <v>3408</v>
      </c>
      <c r="I639" s="114">
        <f>216*1.25</f>
        <v>270</v>
      </c>
      <c r="J639" s="40" t="s">
        <v>1290</v>
      </c>
    </row>
    <row r="640" spans="1:10" s="6" customFormat="1" ht="38.25" x14ac:dyDescent="0.2">
      <c r="A640" s="219"/>
      <c r="B640" s="40">
        <v>37</v>
      </c>
      <c r="C640" s="154" t="s">
        <v>2519</v>
      </c>
      <c r="D640" s="153" t="s">
        <v>2352</v>
      </c>
      <c r="E640" s="104" t="s">
        <v>3409</v>
      </c>
      <c r="F640" s="40"/>
      <c r="G640" s="40" t="s">
        <v>2604</v>
      </c>
      <c r="H640" s="104" t="s">
        <v>3373</v>
      </c>
      <c r="I640" s="114">
        <v>2706.82</v>
      </c>
      <c r="J640" s="40" t="s">
        <v>1290</v>
      </c>
    </row>
    <row r="641" spans="1:10" s="6" customFormat="1" ht="38.25" x14ac:dyDescent="0.2">
      <c r="A641" s="219"/>
      <c r="B641" s="40">
        <v>38</v>
      </c>
      <c r="C641" s="154" t="s">
        <v>148</v>
      </c>
      <c r="D641" s="153" t="s">
        <v>2352</v>
      </c>
      <c r="E641" s="104">
        <v>341</v>
      </c>
      <c r="F641" s="40"/>
      <c r="G641" s="40" t="s">
        <v>2524</v>
      </c>
      <c r="H641" s="104" t="s">
        <v>2815</v>
      </c>
      <c r="I641" s="114">
        <v>28.35</v>
      </c>
      <c r="J641" s="40" t="s">
        <v>1290</v>
      </c>
    </row>
    <row r="642" spans="1:10" s="6" customFormat="1" ht="76.5" x14ac:dyDescent="0.2">
      <c r="A642" s="219"/>
      <c r="B642" s="40">
        <v>39</v>
      </c>
      <c r="C642" s="154" t="s">
        <v>2519</v>
      </c>
      <c r="D642" s="153" t="s">
        <v>1641</v>
      </c>
      <c r="E642" s="104" t="s">
        <v>3444</v>
      </c>
      <c r="F642" s="40"/>
      <c r="G642" s="40" t="s">
        <v>2551</v>
      </c>
      <c r="H642" s="104" t="s">
        <v>3445</v>
      </c>
      <c r="I642" s="114">
        <v>7958.38</v>
      </c>
      <c r="J642" s="40" t="s">
        <v>1290</v>
      </c>
    </row>
    <row r="643" spans="1:10" s="6" customFormat="1" ht="38.25" x14ac:dyDescent="0.2">
      <c r="A643" s="219"/>
      <c r="B643" s="40">
        <v>40</v>
      </c>
      <c r="C643" s="152" t="s">
        <v>53</v>
      </c>
      <c r="D643" s="153" t="s">
        <v>2154</v>
      </c>
      <c r="E643" s="104">
        <v>338</v>
      </c>
      <c r="F643" s="40"/>
      <c r="G643" s="40" t="s">
        <v>2604</v>
      </c>
      <c r="H643" s="104" t="s">
        <v>3158</v>
      </c>
      <c r="I643" s="114">
        <f>40071.5</f>
        <v>40071.5</v>
      </c>
      <c r="J643" s="40" t="s">
        <v>1290</v>
      </c>
    </row>
    <row r="644" spans="1:10" s="6" customFormat="1" ht="38.25" x14ac:dyDescent="0.2">
      <c r="A644" s="219"/>
      <c r="B644" s="40">
        <v>41</v>
      </c>
      <c r="C644" s="154" t="s">
        <v>2519</v>
      </c>
      <c r="D644" s="153" t="s">
        <v>2554</v>
      </c>
      <c r="E644" s="104" t="s">
        <v>3588</v>
      </c>
      <c r="F644" s="40"/>
      <c r="G644" s="40" t="s">
        <v>2858</v>
      </c>
      <c r="H644" s="104" t="s">
        <v>3589</v>
      </c>
      <c r="I644" s="114">
        <v>16700.349999999999</v>
      </c>
      <c r="J644" s="40" t="s">
        <v>1290</v>
      </c>
    </row>
    <row r="645" spans="1:10" s="6" customFormat="1" ht="38.25" x14ac:dyDescent="0.2">
      <c r="A645" s="219"/>
      <c r="B645" s="40">
        <v>42</v>
      </c>
      <c r="C645" s="154" t="s">
        <v>148</v>
      </c>
      <c r="D645" s="153" t="s">
        <v>2554</v>
      </c>
      <c r="E645" s="104">
        <v>341</v>
      </c>
      <c r="F645" s="40"/>
      <c r="G645" s="40" t="s">
        <v>3327</v>
      </c>
      <c r="H645" s="104" t="s">
        <v>3590</v>
      </c>
      <c r="I645" s="114">
        <v>283.5</v>
      </c>
      <c r="J645" s="40" t="s">
        <v>1290</v>
      </c>
    </row>
    <row r="646" spans="1:10" s="6" customFormat="1" ht="38.25" x14ac:dyDescent="0.2">
      <c r="A646" s="219"/>
      <c r="B646" s="40">
        <v>43</v>
      </c>
      <c r="C646" s="152" t="s">
        <v>41</v>
      </c>
      <c r="D646" s="153" t="s">
        <v>2554</v>
      </c>
      <c r="E646" s="104" t="s">
        <v>2891</v>
      </c>
      <c r="F646" s="40"/>
      <c r="G646" s="40" t="s">
        <v>2879</v>
      </c>
      <c r="H646" s="104" t="s">
        <v>3591</v>
      </c>
      <c r="I646" s="114">
        <v>1863</v>
      </c>
      <c r="J646" s="40" t="s">
        <v>1290</v>
      </c>
    </row>
    <row r="647" spans="1:10" s="6" customFormat="1" ht="38.25" x14ac:dyDescent="0.2">
      <c r="A647" s="219"/>
      <c r="B647" s="40">
        <v>44</v>
      </c>
      <c r="C647" s="152" t="s">
        <v>45</v>
      </c>
      <c r="D647" s="153" t="s">
        <v>2554</v>
      </c>
      <c r="E647" s="104" t="s">
        <v>3592</v>
      </c>
      <c r="F647" s="40"/>
      <c r="G647" s="40" t="s">
        <v>2889</v>
      </c>
      <c r="H647" s="104" t="s">
        <v>2890</v>
      </c>
      <c r="I647" s="114">
        <v>3963.88</v>
      </c>
      <c r="J647" s="40" t="s">
        <v>1290</v>
      </c>
    </row>
    <row r="648" spans="1:10" s="6" customFormat="1" ht="38.25" x14ac:dyDescent="0.2">
      <c r="A648" s="219"/>
      <c r="B648" s="40">
        <v>45</v>
      </c>
      <c r="C648" s="152" t="s">
        <v>53</v>
      </c>
      <c r="D648" s="153" t="s">
        <v>2554</v>
      </c>
      <c r="E648" s="104">
        <v>338</v>
      </c>
      <c r="F648" s="40"/>
      <c r="G648" s="40" t="s">
        <v>2858</v>
      </c>
      <c r="H648" s="104" t="s">
        <v>3593</v>
      </c>
      <c r="I648" s="114">
        <v>63309.23</v>
      </c>
      <c r="J648" s="40" t="s">
        <v>1290</v>
      </c>
    </row>
    <row r="649" spans="1:10" s="6" customFormat="1" ht="38.25" x14ac:dyDescent="0.2">
      <c r="A649" s="219"/>
      <c r="B649" s="40">
        <v>46</v>
      </c>
      <c r="C649" s="154" t="s">
        <v>2519</v>
      </c>
      <c r="D649" s="153" t="s">
        <v>2142</v>
      </c>
      <c r="E649" s="104" t="s">
        <v>3594</v>
      </c>
      <c r="F649" s="40"/>
      <c r="G649" s="40" t="s">
        <v>3468</v>
      </c>
      <c r="H649" s="104" t="s">
        <v>3595</v>
      </c>
      <c r="I649" s="114">
        <v>3191.08</v>
      </c>
      <c r="J649" s="40" t="s">
        <v>1290</v>
      </c>
    </row>
    <row r="650" spans="1:10" s="6" customFormat="1" ht="38.25" x14ac:dyDescent="0.2">
      <c r="A650" s="219"/>
      <c r="B650" s="40">
        <v>47</v>
      </c>
      <c r="C650" s="152" t="s">
        <v>53</v>
      </c>
      <c r="D650" s="153" t="s">
        <v>2142</v>
      </c>
      <c r="E650" s="104">
        <v>338</v>
      </c>
      <c r="F650" s="40"/>
      <c r="G650" s="40" t="s">
        <v>3468</v>
      </c>
      <c r="H650" s="104" t="s">
        <v>3596</v>
      </c>
      <c r="I650" s="114">
        <v>35390.25</v>
      </c>
      <c r="J650" s="40" t="s">
        <v>1290</v>
      </c>
    </row>
    <row r="651" spans="1:10" s="6" customFormat="1" ht="38.25" x14ac:dyDescent="0.2">
      <c r="A651" s="219"/>
      <c r="B651" s="40">
        <v>48</v>
      </c>
      <c r="C651" s="152" t="s">
        <v>41</v>
      </c>
      <c r="D651" s="153" t="s">
        <v>2142</v>
      </c>
      <c r="E651" s="104" t="s">
        <v>2891</v>
      </c>
      <c r="F651" s="40"/>
      <c r="G651" s="40" t="s">
        <v>3468</v>
      </c>
      <c r="H651" s="104" t="s">
        <v>3597</v>
      </c>
      <c r="I651" s="114">
        <v>304.29000000000002</v>
      </c>
      <c r="J651" s="40" t="s">
        <v>1290</v>
      </c>
    </row>
    <row r="652" spans="1:10" s="6" customFormat="1" ht="38.25" x14ac:dyDescent="0.2">
      <c r="A652" s="219"/>
      <c r="B652" s="40">
        <v>49</v>
      </c>
      <c r="C652" s="152" t="s">
        <v>45</v>
      </c>
      <c r="D652" s="153" t="s">
        <v>2142</v>
      </c>
      <c r="E652" s="104" t="s">
        <v>3598</v>
      </c>
      <c r="F652" s="40"/>
      <c r="G652" s="40" t="s">
        <v>3468</v>
      </c>
      <c r="H652" s="104" t="s">
        <v>3599</v>
      </c>
      <c r="I652" s="114">
        <v>1799.07</v>
      </c>
      <c r="J652" s="40" t="s">
        <v>1290</v>
      </c>
    </row>
    <row r="653" spans="1:10" s="6" customFormat="1" ht="38.25" x14ac:dyDescent="0.2">
      <c r="A653" s="219"/>
      <c r="B653" s="40">
        <v>50</v>
      </c>
      <c r="C653" s="154" t="s">
        <v>2519</v>
      </c>
      <c r="D653" s="153" t="s">
        <v>2383</v>
      </c>
      <c r="E653" s="104" t="s">
        <v>3741</v>
      </c>
      <c r="F653" s="40"/>
      <c r="G653" s="40" t="s">
        <v>3199</v>
      </c>
      <c r="H653" s="104" t="s">
        <v>3742</v>
      </c>
      <c r="I653" s="114">
        <v>68756.710000000006</v>
      </c>
      <c r="J653" s="40" t="s">
        <v>1290</v>
      </c>
    </row>
    <row r="654" spans="1:10" s="6" customFormat="1" ht="38.25" x14ac:dyDescent="0.2">
      <c r="A654" s="219"/>
      <c r="B654" s="40">
        <v>51</v>
      </c>
      <c r="C654" s="152" t="s">
        <v>45</v>
      </c>
      <c r="D654" s="153" t="s">
        <v>2383</v>
      </c>
      <c r="E654" s="104" t="s">
        <v>3743</v>
      </c>
      <c r="F654" s="40"/>
      <c r="G654" s="40" t="s">
        <v>2889</v>
      </c>
      <c r="H654" s="104" t="s">
        <v>2890</v>
      </c>
      <c r="I654" s="114">
        <v>14921.72</v>
      </c>
      <c r="J654" s="40" t="s">
        <v>1290</v>
      </c>
    </row>
    <row r="655" spans="1:10" s="6" customFormat="1" ht="38.25" x14ac:dyDescent="0.2">
      <c r="A655" s="219"/>
      <c r="B655" s="40">
        <v>52</v>
      </c>
      <c r="C655" s="154" t="s">
        <v>148</v>
      </c>
      <c r="D655" s="153" t="s">
        <v>2383</v>
      </c>
      <c r="E655" s="104">
        <v>341</v>
      </c>
      <c r="F655" s="40"/>
      <c r="G655" s="40" t="s">
        <v>2879</v>
      </c>
      <c r="H655" s="104" t="s">
        <v>3744</v>
      </c>
      <c r="I655" s="114">
        <v>2636.55</v>
      </c>
      <c r="J655" s="40" t="s">
        <v>1290</v>
      </c>
    </row>
    <row r="656" spans="1:10" s="6" customFormat="1" ht="38.25" x14ac:dyDescent="0.2">
      <c r="A656" s="219"/>
      <c r="B656" s="40">
        <v>53</v>
      </c>
      <c r="C656" s="152" t="s">
        <v>41</v>
      </c>
      <c r="D656" s="153" t="s">
        <v>2383</v>
      </c>
      <c r="E656" s="104" t="s">
        <v>2660</v>
      </c>
      <c r="F656" s="40"/>
      <c r="G656" s="40" t="s">
        <v>2956</v>
      </c>
      <c r="H656" s="104" t="s">
        <v>3745</v>
      </c>
      <c r="I656" s="114">
        <v>13596.66</v>
      </c>
      <c r="J656" s="40" t="s">
        <v>1290</v>
      </c>
    </row>
    <row r="657" spans="1:10" s="6" customFormat="1" ht="38.25" x14ac:dyDescent="0.2">
      <c r="A657" s="219"/>
      <c r="B657" s="40">
        <v>54</v>
      </c>
      <c r="C657" s="152" t="s">
        <v>53</v>
      </c>
      <c r="D657" s="153" t="s">
        <v>1731</v>
      </c>
      <c r="E657" s="104"/>
      <c r="F657" s="40"/>
      <c r="G657" s="40" t="s">
        <v>3647</v>
      </c>
      <c r="H657" s="136" t="s">
        <v>3774</v>
      </c>
      <c r="I657" s="114">
        <f>13856.5*1.05</f>
        <v>14549.325000000001</v>
      </c>
      <c r="J657" s="40" t="s">
        <v>1290</v>
      </c>
    </row>
    <row r="658" spans="1:10" s="6" customFormat="1" ht="38.25" x14ac:dyDescent="0.2">
      <c r="A658" s="219"/>
      <c r="B658" s="40">
        <v>55</v>
      </c>
      <c r="C658" s="154" t="s">
        <v>2519</v>
      </c>
      <c r="D658" s="153" t="s">
        <v>2154</v>
      </c>
      <c r="E658" s="104" t="s">
        <v>3823</v>
      </c>
      <c r="F658" s="40"/>
      <c r="G658" s="40" t="s">
        <v>2578</v>
      </c>
      <c r="H658" s="104" t="s">
        <v>3824</v>
      </c>
      <c r="I658" s="114">
        <f>(84+1160+15.68+346.5+12.59+162.82+36.64+754.2+31.35)*1.05</f>
        <v>2733.9690000000005</v>
      </c>
      <c r="J658" s="40" t="s">
        <v>1290</v>
      </c>
    </row>
    <row r="659" spans="1:10" s="6" customFormat="1" ht="38.25" x14ac:dyDescent="0.2">
      <c r="A659" s="219"/>
      <c r="B659" s="40">
        <v>56</v>
      </c>
      <c r="C659" s="152" t="s">
        <v>45</v>
      </c>
      <c r="D659" s="153" t="s">
        <v>2259</v>
      </c>
      <c r="E659" s="104" t="s">
        <v>3836</v>
      </c>
      <c r="F659" s="40"/>
      <c r="G659" s="40" t="s">
        <v>2578</v>
      </c>
      <c r="H659" s="104" t="s">
        <v>3407</v>
      </c>
      <c r="I659" s="114">
        <v>771.75</v>
      </c>
      <c r="J659" s="40" t="s">
        <v>1290</v>
      </c>
    </row>
    <row r="660" spans="1:10" s="6" customFormat="1" ht="38.25" x14ac:dyDescent="0.2">
      <c r="A660" s="219"/>
      <c r="B660" s="40">
        <v>57</v>
      </c>
      <c r="C660" s="152" t="s">
        <v>53</v>
      </c>
      <c r="D660" s="153" t="s">
        <v>2259</v>
      </c>
      <c r="E660" s="104">
        <v>338</v>
      </c>
      <c r="F660" s="40"/>
      <c r="G660" s="40" t="s">
        <v>2636</v>
      </c>
      <c r="H660" s="104" t="s">
        <v>3837</v>
      </c>
      <c r="I660" s="114">
        <v>7864.5</v>
      </c>
      <c r="J660" s="40" t="s">
        <v>1290</v>
      </c>
    </row>
    <row r="661" spans="1:10" s="6" customFormat="1" ht="38.25" x14ac:dyDescent="0.2">
      <c r="A661" s="219"/>
      <c r="B661" s="40">
        <v>58</v>
      </c>
      <c r="C661" s="152" t="s">
        <v>45</v>
      </c>
      <c r="D661" s="153" t="s">
        <v>1769</v>
      </c>
      <c r="E661" s="104" t="s">
        <v>3856</v>
      </c>
      <c r="F661" s="40"/>
      <c r="G661" s="40" t="s">
        <v>2551</v>
      </c>
      <c r="H661" s="104" t="s">
        <v>3857</v>
      </c>
      <c r="I661" s="114">
        <v>412.23</v>
      </c>
      <c r="J661" s="40" t="s">
        <v>1290</v>
      </c>
    </row>
    <row r="662" spans="1:10" s="6" customFormat="1" ht="38.25" x14ac:dyDescent="0.2">
      <c r="A662" s="219"/>
      <c r="B662" s="40">
        <v>59</v>
      </c>
      <c r="C662" s="154" t="s">
        <v>148</v>
      </c>
      <c r="D662" s="153" t="s">
        <v>1769</v>
      </c>
      <c r="E662" s="104">
        <v>341</v>
      </c>
      <c r="F662" s="40"/>
      <c r="G662" s="40" t="s">
        <v>2551</v>
      </c>
      <c r="H662" s="104" t="s">
        <v>3858</v>
      </c>
      <c r="I662" s="114">
        <v>304.29000000000002</v>
      </c>
      <c r="J662" s="40" t="s">
        <v>1290</v>
      </c>
    </row>
    <row r="663" spans="1:10" s="6" customFormat="1" ht="38.25" x14ac:dyDescent="0.2">
      <c r="A663" s="219"/>
      <c r="B663" s="40">
        <v>60</v>
      </c>
      <c r="C663" s="152" t="s">
        <v>53</v>
      </c>
      <c r="D663" s="153" t="s">
        <v>1769</v>
      </c>
      <c r="E663" s="104">
        <v>338</v>
      </c>
      <c r="F663" s="40"/>
      <c r="G663" s="40" t="s">
        <v>2578</v>
      </c>
      <c r="H663" s="104" t="s">
        <v>3859</v>
      </c>
      <c r="I663" s="114">
        <v>55837.95</v>
      </c>
      <c r="J663" s="40" t="s">
        <v>1290</v>
      </c>
    </row>
    <row r="664" spans="1:10" s="6" customFormat="1" ht="38.25" x14ac:dyDescent="0.2">
      <c r="A664" s="219"/>
      <c r="B664" s="40">
        <v>61</v>
      </c>
      <c r="C664" s="152" t="s">
        <v>41</v>
      </c>
      <c r="D664" s="153" t="s">
        <v>1769</v>
      </c>
      <c r="E664" s="104">
        <v>355</v>
      </c>
      <c r="F664" s="40"/>
      <c r="G664" s="40" t="s">
        <v>3484</v>
      </c>
      <c r="H664" s="104" t="s">
        <v>3860</v>
      </c>
      <c r="I664" s="114">
        <v>443.35</v>
      </c>
      <c r="J664" s="40" t="s">
        <v>1290</v>
      </c>
    </row>
    <row r="665" spans="1:10" s="6" customFormat="1" ht="38.25" x14ac:dyDescent="0.2">
      <c r="A665" s="219"/>
      <c r="B665" s="40">
        <v>62</v>
      </c>
      <c r="C665" s="154" t="s">
        <v>2519</v>
      </c>
      <c r="D665" s="153" t="s">
        <v>1769</v>
      </c>
      <c r="E665" s="104" t="s">
        <v>3861</v>
      </c>
      <c r="F665" s="40"/>
      <c r="G665" s="40" t="s">
        <v>2551</v>
      </c>
      <c r="H665" s="104" t="s">
        <v>3862</v>
      </c>
      <c r="I665" s="114">
        <v>78183.87</v>
      </c>
      <c r="J665" s="40" t="s">
        <v>1290</v>
      </c>
    </row>
    <row r="666" spans="1:10" s="6" customFormat="1" ht="38.25" x14ac:dyDescent="0.2">
      <c r="A666" s="219"/>
      <c r="B666" s="40">
        <v>63</v>
      </c>
      <c r="C666" s="152" t="s">
        <v>45</v>
      </c>
      <c r="D666" s="153" t="s">
        <v>1731</v>
      </c>
      <c r="E666" s="104"/>
      <c r="F666" s="40"/>
      <c r="G666" s="40" t="s">
        <v>3647</v>
      </c>
      <c r="H666" s="104" t="s">
        <v>3774</v>
      </c>
      <c r="I666" s="114">
        <f>122.24*1.05</f>
        <v>128.352</v>
      </c>
      <c r="J666" s="40" t="s">
        <v>1290</v>
      </c>
    </row>
    <row r="667" spans="1:10" s="6" customFormat="1" ht="38.25" x14ac:dyDescent="0.2">
      <c r="A667" s="219"/>
      <c r="B667" s="40">
        <v>64</v>
      </c>
      <c r="C667" s="152" t="s">
        <v>45</v>
      </c>
      <c r="D667" s="153" t="s">
        <v>1749</v>
      </c>
      <c r="E667" s="104" t="s">
        <v>3160</v>
      </c>
      <c r="F667" s="40"/>
      <c r="G667" s="40" t="s">
        <v>2956</v>
      </c>
      <c r="H667" s="104" t="s">
        <v>3901</v>
      </c>
      <c r="I667" s="114">
        <f>559.19+555.66+277.2+315+1296.54+52.92+117.6+1730.4+398.06</f>
        <v>5302.5700000000006</v>
      </c>
      <c r="J667" s="40" t="s">
        <v>1290</v>
      </c>
    </row>
    <row r="668" spans="1:10" s="6" customFormat="1" ht="38.25" x14ac:dyDescent="0.2">
      <c r="A668" s="219"/>
      <c r="B668" s="40">
        <v>65</v>
      </c>
      <c r="C668" s="152" t="s">
        <v>41</v>
      </c>
      <c r="D668" s="153" t="s">
        <v>1749</v>
      </c>
      <c r="E668" s="104" t="s">
        <v>3902</v>
      </c>
      <c r="F668" s="40"/>
      <c r="G668" s="40" t="s">
        <v>3279</v>
      </c>
      <c r="H668" s="104" t="s">
        <v>3903</v>
      </c>
      <c r="I668" s="114">
        <f>217+182.7+109.62</f>
        <v>509.32</v>
      </c>
      <c r="J668" s="40" t="s">
        <v>1290</v>
      </c>
    </row>
    <row r="669" spans="1:10" s="6" customFormat="1" ht="38.25" x14ac:dyDescent="0.2">
      <c r="A669" s="219"/>
      <c r="B669" s="40">
        <v>66</v>
      </c>
      <c r="C669" s="154" t="s">
        <v>2519</v>
      </c>
      <c r="D669" s="153" t="s">
        <v>1749</v>
      </c>
      <c r="E669" s="104" t="s">
        <v>3904</v>
      </c>
      <c r="F669" s="40"/>
      <c r="G669" s="40" t="s">
        <v>2956</v>
      </c>
      <c r="H669" s="104" t="s">
        <v>3905</v>
      </c>
      <c r="I669" s="114">
        <f>3742.2+5657.4+25.28+216.38+126.42+455.7+1562.61+27.93+28.98+246.02+7.97+657.38+1172.3+278.92+4443.5+1811.04</f>
        <v>20460.03</v>
      </c>
      <c r="J669" s="40" t="s">
        <v>1290</v>
      </c>
    </row>
    <row r="670" spans="1:10" s="6" customFormat="1" ht="38.25" x14ac:dyDescent="0.2">
      <c r="A670" s="219"/>
      <c r="B670" s="40">
        <v>67</v>
      </c>
      <c r="C670" s="154" t="s">
        <v>148</v>
      </c>
      <c r="D670" s="153" t="s">
        <v>1749</v>
      </c>
      <c r="E670" s="104">
        <v>341</v>
      </c>
      <c r="F670" s="40"/>
      <c r="G670" s="40" t="s">
        <v>3279</v>
      </c>
      <c r="H670" s="104" t="s">
        <v>3906</v>
      </c>
      <c r="I670" s="114">
        <v>496.13</v>
      </c>
      <c r="J670" s="40" t="s">
        <v>1290</v>
      </c>
    </row>
    <row r="671" spans="1:10" s="6" customFormat="1" ht="38.25" x14ac:dyDescent="0.2">
      <c r="A671" s="219"/>
      <c r="B671" s="40">
        <v>68</v>
      </c>
      <c r="C671" s="152" t="s">
        <v>53</v>
      </c>
      <c r="D671" s="153" t="s">
        <v>1749</v>
      </c>
      <c r="E671" s="104">
        <v>338</v>
      </c>
      <c r="F671" s="40"/>
      <c r="G671" s="40" t="s">
        <v>3279</v>
      </c>
      <c r="H671" s="104" t="s">
        <v>3280</v>
      </c>
      <c r="I671" s="114">
        <v>55287.44</v>
      </c>
      <c r="J671" s="40" t="s">
        <v>1290</v>
      </c>
    </row>
    <row r="672" spans="1:10" s="6" customFormat="1" ht="38.25" x14ac:dyDescent="0.2">
      <c r="A672" s="219"/>
      <c r="B672" s="40">
        <v>69</v>
      </c>
      <c r="C672" s="154" t="s">
        <v>148</v>
      </c>
      <c r="D672" s="153" t="s">
        <v>2142</v>
      </c>
      <c r="E672" s="104">
        <v>341</v>
      </c>
      <c r="F672" s="40"/>
      <c r="G672" s="40" t="s">
        <v>2958</v>
      </c>
      <c r="H672" s="104" t="s">
        <v>3918</v>
      </c>
      <c r="I672" s="114">
        <v>236.25</v>
      </c>
      <c r="J672" s="40" t="s">
        <v>1290</v>
      </c>
    </row>
    <row r="673" spans="1:10" s="6" customFormat="1" ht="38.25" x14ac:dyDescent="0.2">
      <c r="A673" s="219"/>
      <c r="B673" s="40">
        <v>70</v>
      </c>
      <c r="C673" s="152" t="s">
        <v>53</v>
      </c>
      <c r="D673" s="153" t="s">
        <v>1644</v>
      </c>
      <c r="E673" s="104">
        <v>338</v>
      </c>
      <c r="F673" s="40"/>
      <c r="G673" s="40" t="s">
        <v>2524</v>
      </c>
      <c r="H673" s="104" t="s">
        <v>3985</v>
      </c>
      <c r="I673" s="114">
        <v>118753.95</v>
      </c>
      <c r="J673" s="40" t="s">
        <v>1290</v>
      </c>
    </row>
    <row r="674" spans="1:10" s="6" customFormat="1" ht="38.25" x14ac:dyDescent="0.2">
      <c r="A674" s="219"/>
      <c r="B674" s="40">
        <v>71</v>
      </c>
      <c r="C674" s="154" t="s">
        <v>2519</v>
      </c>
      <c r="D674" s="153" t="s">
        <v>1644</v>
      </c>
      <c r="E674" s="104" t="s">
        <v>3904</v>
      </c>
      <c r="F674" s="40"/>
      <c r="G674" s="40" t="s">
        <v>2958</v>
      </c>
      <c r="H674" s="104" t="s">
        <v>3986</v>
      </c>
      <c r="I674" s="114">
        <v>42186.95</v>
      </c>
      <c r="J674" s="40" t="s">
        <v>1290</v>
      </c>
    </row>
    <row r="675" spans="1:10" s="6" customFormat="1" ht="38.25" x14ac:dyDescent="0.2">
      <c r="A675" s="219"/>
      <c r="B675" s="40">
        <v>72</v>
      </c>
      <c r="C675" s="154" t="s">
        <v>148</v>
      </c>
      <c r="D675" s="153" t="s">
        <v>1644</v>
      </c>
      <c r="E675" s="104">
        <v>341</v>
      </c>
      <c r="F675" s="40"/>
      <c r="G675" s="40" t="s">
        <v>2524</v>
      </c>
      <c r="H675" s="104" t="s">
        <v>3987</v>
      </c>
      <c r="I675" s="114">
        <v>756</v>
      </c>
      <c r="J675" s="40" t="s">
        <v>1290</v>
      </c>
    </row>
    <row r="676" spans="1:10" s="6" customFormat="1" ht="38.25" x14ac:dyDescent="0.2">
      <c r="A676" s="219"/>
      <c r="B676" s="40">
        <v>73</v>
      </c>
      <c r="C676" s="152" t="s">
        <v>45</v>
      </c>
      <c r="D676" s="153" t="s">
        <v>1644</v>
      </c>
      <c r="E676" s="104" t="s">
        <v>3160</v>
      </c>
      <c r="F676" s="40"/>
      <c r="G676" s="40" t="s">
        <v>3327</v>
      </c>
      <c r="H676" s="104" t="s">
        <v>3988</v>
      </c>
      <c r="I676" s="114">
        <v>7542.2</v>
      </c>
      <c r="J676" s="40" t="s">
        <v>1290</v>
      </c>
    </row>
    <row r="677" spans="1:10" s="6" customFormat="1" ht="38.25" x14ac:dyDescent="0.2">
      <c r="A677" s="219"/>
      <c r="B677" s="40">
        <v>74</v>
      </c>
      <c r="C677" s="152" t="s">
        <v>41</v>
      </c>
      <c r="D677" s="153" t="s">
        <v>1644</v>
      </c>
      <c r="E677" s="104" t="s">
        <v>3403</v>
      </c>
      <c r="F677" s="40"/>
      <c r="G677" s="40" t="s">
        <v>2956</v>
      </c>
      <c r="H677" s="104" t="s">
        <v>3745</v>
      </c>
      <c r="I677" s="114">
        <v>1524.6</v>
      </c>
      <c r="J677" s="40" t="s">
        <v>1290</v>
      </c>
    </row>
    <row r="678" spans="1:10" s="6" customFormat="1" ht="38.25" x14ac:dyDescent="0.2">
      <c r="A678" s="219"/>
      <c r="B678" s="40">
        <v>75</v>
      </c>
      <c r="C678" s="152" t="s">
        <v>53</v>
      </c>
      <c r="D678" s="153" t="s">
        <v>1731</v>
      </c>
      <c r="E678" s="104"/>
      <c r="F678" s="40"/>
      <c r="G678" s="40" t="s">
        <v>3647</v>
      </c>
      <c r="H678" s="104" t="s">
        <v>3774</v>
      </c>
      <c r="I678" s="114">
        <f>13856.5*1.05</f>
        <v>14549.325000000001</v>
      </c>
      <c r="J678" s="40" t="s">
        <v>1290</v>
      </c>
    </row>
    <row r="679" spans="1:10" s="6" customFormat="1" ht="38.25" x14ac:dyDescent="0.2">
      <c r="A679" s="219"/>
      <c r="B679" s="40">
        <v>76</v>
      </c>
      <c r="C679" s="152" t="s">
        <v>45</v>
      </c>
      <c r="D679" s="153" t="s">
        <v>1625</v>
      </c>
      <c r="E679" s="104" t="s">
        <v>3160</v>
      </c>
      <c r="F679" s="40"/>
      <c r="G679" s="40" t="s">
        <v>3973</v>
      </c>
      <c r="H679" s="104" t="s">
        <v>3989</v>
      </c>
      <c r="I679" s="114">
        <f>1323+3370.5+19.64+21+945+368.55+470.4+1029+267.75</f>
        <v>7814.84</v>
      </c>
      <c r="J679" s="40" t="s">
        <v>1290</v>
      </c>
    </row>
    <row r="680" spans="1:10" s="6" customFormat="1" ht="38.25" x14ac:dyDescent="0.2">
      <c r="A680" s="219"/>
      <c r="B680" s="40">
        <v>77</v>
      </c>
      <c r="C680" s="152" t="s">
        <v>41</v>
      </c>
      <c r="D680" s="153" t="s">
        <v>1625</v>
      </c>
      <c r="E680" s="104" t="s">
        <v>3990</v>
      </c>
      <c r="F680" s="40"/>
      <c r="G680" s="40" t="s">
        <v>3975</v>
      </c>
      <c r="H680" s="104" t="s">
        <v>3991</v>
      </c>
      <c r="I680" s="114">
        <f>1593.9+2557.8</f>
        <v>4151.7000000000007</v>
      </c>
      <c r="J680" s="40" t="s">
        <v>1290</v>
      </c>
    </row>
    <row r="681" spans="1:10" s="6" customFormat="1" ht="38.25" x14ac:dyDescent="0.2">
      <c r="A681" s="219"/>
      <c r="B681" s="40">
        <v>78</v>
      </c>
      <c r="C681" s="154" t="s">
        <v>2519</v>
      </c>
      <c r="D681" s="153" t="s">
        <v>1625</v>
      </c>
      <c r="E681" s="104" t="s">
        <v>3992</v>
      </c>
      <c r="F681" s="40"/>
      <c r="G681" s="40" t="s">
        <v>3981</v>
      </c>
      <c r="H681" s="104" t="s">
        <v>3993</v>
      </c>
      <c r="I681" s="114">
        <f>157.5+2801.4+882+1264.2+911.4+2009.07+399+2415+3465+1811.07+884.94+4151.91+1923.6+10998.75</f>
        <v>34074.839999999997</v>
      </c>
      <c r="J681" s="40" t="s">
        <v>1290</v>
      </c>
    </row>
    <row r="682" spans="1:10" s="6" customFormat="1" ht="38.25" x14ac:dyDescent="0.2">
      <c r="A682" s="219"/>
      <c r="B682" s="40">
        <v>79</v>
      </c>
      <c r="C682" s="152" t="s">
        <v>53</v>
      </c>
      <c r="D682" s="153" t="s">
        <v>1625</v>
      </c>
      <c r="E682" s="104">
        <v>338</v>
      </c>
      <c r="F682" s="40"/>
      <c r="G682" s="40" t="s">
        <v>3983</v>
      </c>
      <c r="H682" s="104" t="s">
        <v>3994</v>
      </c>
      <c r="I682" s="114">
        <v>242226.6</v>
      </c>
      <c r="J682" s="40" t="s">
        <v>1290</v>
      </c>
    </row>
    <row r="683" spans="1:10" s="6" customFormat="1" ht="38.25" x14ac:dyDescent="0.2">
      <c r="A683" s="219"/>
      <c r="B683" s="40">
        <v>80</v>
      </c>
      <c r="C683" s="154" t="s">
        <v>148</v>
      </c>
      <c r="D683" s="153" t="s">
        <v>1625</v>
      </c>
      <c r="E683" s="104">
        <v>341</v>
      </c>
      <c r="F683" s="40"/>
      <c r="G683" s="40" t="s">
        <v>3983</v>
      </c>
      <c r="H683" s="104" t="s">
        <v>3995</v>
      </c>
      <c r="I683" s="114">
        <v>1063.1300000000001</v>
      </c>
      <c r="J683" s="40" t="s">
        <v>1290</v>
      </c>
    </row>
    <row r="684" spans="1:10" s="6" customFormat="1" ht="38.25" x14ac:dyDescent="0.2">
      <c r="A684" s="219"/>
      <c r="B684" s="40">
        <v>81</v>
      </c>
      <c r="C684" s="152" t="s">
        <v>53</v>
      </c>
      <c r="D684" s="153" t="s">
        <v>4033</v>
      </c>
      <c r="E684" s="104">
        <v>338</v>
      </c>
      <c r="F684" s="40"/>
      <c r="G684" s="40" t="s">
        <v>3477</v>
      </c>
      <c r="H684" s="104" t="s">
        <v>4052</v>
      </c>
      <c r="I684" s="114">
        <f>374.5*1.05</f>
        <v>393.22500000000002</v>
      </c>
      <c r="J684" s="40" t="s">
        <v>1290</v>
      </c>
    </row>
    <row r="685" spans="1:10" s="6" customFormat="1" ht="38.25" x14ac:dyDescent="0.2">
      <c r="A685" s="219"/>
      <c r="B685" s="40">
        <v>82</v>
      </c>
      <c r="C685" s="152" t="s">
        <v>45</v>
      </c>
      <c r="D685" s="153" t="s">
        <v>4033</v>
      </c>
      <c r="E685" s="104" t="s">
        <v>3160</v>
      </c>
      <c r="F685" s="40"/>
      <c r="G685" s="40" t="s">
        <v>3477</v>
      </c>
      <c r="H685" s="104" t="s">
        <v>4053</v>
      </c>
      <c r="I685" s="114">
        <f>242*1.05</f>
        <v>254.10000000000002</v>
      </c>
      <c r="J685" s="40" t="s">
        <v>1290</v>
      </c>
    </row>
    <row r="686" spans="1:10" s="6" customFormat="1" ht="38.25" x14ac:dyDescent="0.2">
      <c r="A686" s="219"/>
      <c r="B686" s="40">
        <v>83</v>
      </c>
      <c r="C686" s="154" t="s">
        <v>148</v>
      </c>
      <c r="D686" s="153" t="s">
        <v>4033</v>
      </c>
      <c r="E686" s="104">
        <v>341</v>
      </c>
      <c r="F686" s="40"/>
      <c r="G686" s="40" t="s">
        <v>3477</v>
      </c>
      <c r="H686" s="104" t="s">
        <v>4054</v>
      </c>
      <c r="I686" s="114">
        <f>45*1.05</f>
        <v>47.25</v>
      </c>
      <c r="J686" s="40" t="s">
        <v>1290</v>
      </c>
    </row>
    <row r="687" spans="1:10" s="6" customFormat="1" ht="38.25" x14ac:dyDescent="0.2">
      <c r="A687" s="219"/>
      <c r="B687" s="40">
        <v>84</v>
      </c>
      <c r="C687" s="152" t="s">
        <v>45</v>
      </c>
      <c r="D687" s="153" t="s">
        <v>1637</v>
      </c>
      <c r="E687" s="104" t="s">
        <v>3160</v>
      </c>
      <c r="F687" s="40"/>
      <c r="G687" s="40" t="s">
        <v>3652</v>
      </c>
      <c r="H687" s="104" t="s">
        <v>4065</v>
      </c>
      <c r="I687" s="114">
        <v>4235.07</v>
      </c>
      <c r="J687" s="40" t="s">
        <v>1290</v>
      </c>
    </row>
    <row r="688" spans="1:10" s="6" customFormat="1" ht="38.25" x14ac:dyDescent="0.2">
      <c r="A688" s="219"/>
      <c r="B688" s="40">
        <v>85</v>
      </c>
      <c r="C688" s="154" t="s">
        <v>148</v>
      </c>
      <c r="D688" s="153" t="s">
        <v>1637</v>
      </c>
      <c r="E688" s="104">
        <v>341</v>
      </c>
      <c r="F688" s="40"/>
      <c r="G688" s="40" t="s">
        <v>3477</v>
      </c>
      <c r="H688" s="104" t="s">
        <v>4054</v>
      </c>
      <c r="I688" s="114">
        <v>236.25</v>
      </c>
      <c r="J688" s="40" t="s">
        <v>1290</v>
      </c>
    </row>
    <row r="689" spans="1:10" s="6" customFormat="1" ht="38.25" x14ac:dyDescent="0.2">
      <c r="A689" s="219"/>
      <c r="B689" s="40">
        <v>86</v>
      </c>
      <c r="C689" s="152" t="s">
        <v>53</v>
      </c>
      <c r="D689" s="153" t="s">
        <v>1637</v>
      </c>
      <c r="E689" s="104">
        <v>338</v>
      </c>
      <c r="F689" s="40"/>
      <c r="G689" s="40" t="s">
        <v>3248</v>
      </c>
      <c r="H689" s="104" t="s">
        <v>4066</v>
      </c>
      <c r="I689" s="114">
        <v>70780.5</v>
      </c>
      <c r="J689" s="40" t="s">
        <v>1290</v>
      </c>
    </row>
    <row r="690" spans="1:10" s="6" customFormat="1" ht="38.25" x14ac:dyDescent="0.2">
      <c r="A690" s="219"/>
      <c r="B690" s="40">
        <v>87</v>
      </c>
      <c r="C690" s="152" t="s">
        <v>41</v>
      </c>
      <c r="D690" s="153" t="s">
        <v>1637</v>
      </c>
      <c r="E690" s="104" t="s">
        <v>2891</v>
      </c>
      <c r="F690" s="40"/>
      <c r="G690" s="40" t="s">
        <v>3722</v>
      </c>
      <c r="H690" s="104" t="s">
        <v>4067</v>
      </c>
      <c r="I690" s="114">
        <v>963.59</v>
      </c>
      <c r="J690" s="40" t="s">
        <v>1290</v>
      </c>
    </row>
    <row r="691" spans="1:10" s="6" customFormat="1" ht="38.25" x14ac:dyDescent="0.2">
      <c r="A691" s="220"/>
      <c r="B691" s="40">
        <v>88</v>
      </c>
      <c r="C691" s="154" t="s">
        <v>2519</v>
      </c>
      <c r="D691" s="153" t="s">
        <v>1637</v>
      </c>
      <c r="E691" s="104" t="s">
        <v>3861</v>
      </c>
      <c r="F691" s="40"/>
      <c r="G691" s="40" t="s">
        <v>4068</v>
      </c>
      <c r="H691" s="104" t="s">
        <v>4069</v>
      </c>
      <c r="I691" s="114">
        <v>28087.53</v>
      </c>
      <c r="J691" s="40" t="s">
        <v>1290</v>
      </c>
    </row>
    <row r="692" spans="1:10" ht="38.25" customHeight="1" x14ac:dyDescent="0.2">
      <c r="A692" s="234" t="s">
        <v>2824</v>
      </c>
      <c r="B692" s="25">
        <v>1</v>
      </c>
      <c r="C692" s="96" t="s">
        <v>53</v>
      </c>
      <c r="D692" s="93" t="s">
        <v>2788</v>
      </c>
      <c r="E692" s="101" t="s">
        <v>2486</v>
      </c>
      <c r="F692" s="25"/>
      <c r="G692" s="25" t="s">
        <v>2823</v>
      </c>
      <c r="H692" s="88" t="s">
        <v>2826</v>
      </c>
      <c r="I692" s="18">
        <v>186585</v>
      </c>
      <c r="J692" s="25" t="s">
        <v>1815</v>
      </c>
    </row>
    <row r="693" spans="1:10" ht="38.25" x14ac:dyDescent="0.2">
      <c r="A693" s="235"/>
      <c r="B693" s="25">
        <v>2</v>
      </c>
      <c r="C693" s="82" t="s">
        <v>218</v>
      </c>
      <c r="D693" s="93" t="s">
        <v>2788</v>
      </c>
      <c r="E693" s="101">
        <v>37</v>
      </c>
      <c r="F693" s="25"/>
      <c r="G693" s="25" t="s">
        <v>2825</v>
      </c>
      <c r="H693" s="88" t="s">
        <v>2827</v>
      </c>
      <c r="I693" s="18">
        <v>650.48</v>
      </c>
      <c r="J693" s="25" t="s">
        <v>1815</v>
      </c>
    </row>
    <row r="694" spans="1:10" ht="38.25" x14ac:dyDescent="0.2">
      <c r="A694" s="235"/>
      <c r="B694" s="25">
        <v>3</v>
      </c>
      <c r="C694" s="82" t="s">
        <v>2828</v>
      </c>
      <c r="D694" s="93" t="s">
        <v>2788</v>
      </c>
      <c r="E694" s="101" t="s">
        <v>2829</v>
      </c>
      <c r="F694" s="25"/>
      <c r="G694" s="25" t="s">
        <v>2823</v>
      </c>
      <c r="H694" s="88" t="s">
        <v>2830</v>
      </c>
      <c r="I694" s="18">
        <f>78540+10494.75+35700+78435+43115.63</f>
        <v>246285.38</v>
      </c>
      <c r="J694" s="25" t="s">
        <v>1815</v>
      </c>
    </row>
    <row r="695" spans="1:10" ht="38.25" x14ac:dyDescent="0.2">
      <c r="A695" s="235"/>
      <c r="B695" s="25">
        <v>4</v>
      </c>
      <c r="C695" s="96" t="s">
        <v>45</v>
      </c>
      <c r="D695" s="93" t="s">
        <v>2788</v>
      </c>
      <c r="E695" s="101">
        <v>32</v>
      </c>
      <c r="F695" s="25"/>
      <c r="G695" s="25" t="s">
        <v>2825</v>
      </c>
      <c r="H695" s="88" t="s">
        <v>2839</v>
      </c>
      <c r="I695" s="18">
        <v>4987.5</v>
      </c>
      <c r="J695" s="25" t="s">
        <v>1815</v>
      </c>
    </row>
    <row r="696" spans="1:10" ht="38.25" x14ac:dyDescent="0.2">
      <c r="A696" s="235"/>
      <c r="B696" s="25">
        <v>5</v>
      </c>
      <c r="C696" s="82" t="s">
        <v>2828</v>
      </c>
      <c r="D696" s="93" t="s">
        <v>1618</v>
      </c>
      <c r="E696" s="101">
        <v>1</v>
      </c>
      <c r="F696" s="25"/>
      <c r="G696" s="25" t="s">
        <v>2958</v>
      </c>
      <c r="H696" s="88" t="s">
        <v>2959</v>
      </c>
      <c r="I696" s="18">
        <v>28611</v>
      </c>
      <c r="J696" s="25" t="s">
        <v>1815</v>
      </c>
    </row>
    <row r="697" spans="1:10" ht="38.25" x14ac:dyDescent="0.2">
      <c r="A697" s="235"/>
      <c r="B697" s="25">
        <v>6</v>
      </c>
      <c r="C697" s="82" t="s">
        <v>2828</v>
      </c>
      <c r="D697" s="93" t="s">
        <v>1618</v>
      </c>
      <c r="E697" s="101">
        <v>5</v>
      </c>
      <c r="F697" s="25"/>
      <c r="G697" s="25" t="s">
        <v>2958</v>
      </c>
      <c r="H697" s="88" t="s">
        <v>2959</v>
      </c>
      <c r="I697" s="18">
        <v>73463.25</v>
      </c>
      <c r="J697" s="25" t="s">
        <v>1815</v>
      </c>
    </row>
    <row r="698" spans="1:10" ht="38.25" x14ac:dyDescent="0.2">
      <c r="A698" s="235"/>
      <c r="B698" s="25">
        <v>7</v>
      </c>
      <c r="C698" s="82" t="s">
        <v>2828</v>
      </c>
      <c r="D698" s="93" t="s">
        <v>1618</v>
      </c>
      <c r="E698" s="101">
        <v>14</v>
      </c>
      <c r="F698" s="25"/>
      <c r="G698" s="25" t="s">
        <v>2958</v>
      </c>
      <c r="H698" s="88" t="s">
        <v>2959</v>
      </c>
      <c r="I698" s="18">
        <v>13750</v>
      </c>
      <c r="J698" s="25" t="s">
        <v>1815</v>
      </c>
    </row>
    <row r="699" spans="1:10" ht="38.25" x14ac:dyDescent="0.2">
      <c r="A699" s="235"/>
      <c r="B699" s="25">
        <v>8</v>
      </c>
      <c r="C699" s="82" t="s">
        <v>2828</v>
      </c>
      <c r="D699" s="93" t="s">
        <v>1618</v>
      </c>
      <c r="E699" s="101">
        <v>19</v>
      </c>
      <c r="F699" s="25"/>
      <c r="G699" s="25" t="s">
        <v>2958</v>
      </c>
      <c r="H699" s="88" t="s">
        <v>2959</v>
      </c>
      <c r="I699" s="18">
        <v>15000</v>
      </c>
      <c r="J699" s="25" t="s">
        <v>1815</v>
      </c>
    </row>
    <row r="700" spans="1:10" ht="38.25" x14ac:dyDescent="0.2">
      <c r="A700" s="235"/>
      <c r="B700" s="25">
        <v>9</v>
      </c>
      <c r="C700" s="82" t="s">
        <v>2828</v>
      </c>
      <c r="D700" s="93" t="s">
        <v>1618</v>
      </c>
      <c r="E700" s="101">
        <v>23</v>
      </c>
      <c r="F700" s="25"/>
      <c r="G700" s="25" t="s">
        <v>2958</v>
      </c>
      <c r="H700" s="88" t="s">
        <v>2959</v>
      </c>
      <c r="I700" s="18">
        <v>10395</v>
      </c>
      <c r="J700" s="25" t="s">
        <v>1815</v>
      </c>
    </row>
    <row r="701" spans="1:10" ht="38.25" x14ac:dyDescent="0.2">
      <c r="A701" s="235"/>
      <c r="B701" s="25">
        <v>10</v>
      </c>
      <c r="C701" s="82" t="s">
        <v>2828</v>
      </c>
      <c r="D701" s="93" t="s">
        <v>1618</v>
      </c>
      <c r="E701" s="101">
        <v>28</v>
      </c>
      <c r="F701" s="25"/>
      <c r="G701" s="25" t="s">
        <v>2958</v>
      </c>
      <c r="H701" s="88" t="s">
        <v>2959</v>
      </c>
      <c r="I701" s="18">
        <v>18752.5</v>
      </c>
      <c r="J701" s="25" t="s">
        <v>1815</v>
      </c>
    </row>
    <row r="702" spans="1:10" ht="38.25" x14ac:dyDescent="0.2">
      <c r="A702" s="235"/>
      <c r="B702" s="25">
        <v>11</v>
      </c>
      <c r="C702" s="82" t="s">
        <v>2828</v>
      </c>
      <c r="D702" s="93" t="s">
        <v>1618</v>
      </c>
      <c r="E702" s="101">
        <v>35</v>
      </c>
      <c r="F702" s="25"/>
      <c r="G702" s="25" t="s">
        <v>2958</v>
      </c>
      <c r="H702" s="88" t="s">
        <v>2959</v>
      </c>
      <c r="I702" s="18">
        <v>1724.62</v>
      </c>
      <c r="J702" s="25" t="s">
        <v>1815</v>
      </c>
    </row>
    <row r="703" spans="1:10" ht="38.25" x14ac:dyDescent="0.2">
      <c r="A703" s="235"/>
      <c r="B703" s="25">
        <v>12</v>
      </c>
      <c r="C703" s="82" t="s">
        <v>53</v>
      </c>
      <c r="D703" s="93" t="s">
        <v>1618</v>
      </c>
      <c r="E703" s="101">
        <v>24</v>
      </c>
      <c r="F703" s="25"/>
      <c r="G703" s="25" t="s">
        <v>2958</v>
      </c>
      <c r="H703" s="88" t="s">
        <v>2960</v>
      </c>
      <c r="I703" s="18">
        <v>8286.6</v>
      </c>
      <c r="J703" s="25" t="s">
        <v>1815</v>
      </c>
    </row>
    <row r="704" spans="1:10" ht="38.25" x14ac:dyDescent="0.2">
      <c r="A704" s="235"/>
      <c r="B704" s="25">
        <v>13</v>
      </c>
      <c r="C704" s="82" t="s">
        <v>53</v>
      </c>
      <c r="D704" s="93" t="s">
        <v>1618</v>
      </c>
      <c r="E704" s="101">
        <v>29</v>
      </c>
      <c r="F704" s="25"/>
      <c r="G704" s="25" t="s">
        <v>2958</v>
      </c>
      <c r="H704" s="88" t="s">
        <v>2960</v>
      </c>
      <c r="I704" s="18">
        <v>4725</v>
      </c>
      <c r="J704" s="25" t="s">
        <v>1815</v>
      </c>
    </row>
    <row r="705" spans="1:10" ht="38.25" x14ac:dyDescent="0.2">
      <c r="A705" s="235"/>
      <c r="B705" s="25">
        <v>14</v>
      </c>
      <c r="C705" s="82" t="s">
        <v>53</v>
      </c>
      <c r="D705" s="93" t="s">
        <v>1618</v>
      </c>
      <c r="E705" s="101">
        <v>34</v>
      </c>
      <c r="F705" s="25"/>
      <c r="G705" s="25" t="s">
        <v>2958</v>
      </c>
      <c r="H705" s="88" t="s">
        <v>2960</v>
      </c>
      <c r="I705" s="18">
        <v>17955</v>
      </c>
      <c r="J705" s="25" t="s">
        <v>1815</v>
      </c>
    </row>
    <row r="706" spans="1:10" ht="38.25" x14ac:dyDescent="0.2">
      <c r="A706" s="235"/>
      <c r="B706" s="25">
        <v>15</v>
      </c>
      <c r="C706" s="82" t="s">
        <v>45</v>
      </c>
      <c r="D706" s="93" t="s">
        <v>1618</v>
      </c>
      <c r="E706" s="101">
        <v>32</v>
      </c>
      <c r="F706" s="25"/>
      <c r="G706" s="25" t="s">
        <v>2958</v>
      </c>
      <c r="H706" s="88" t="s">
        <v>2961</v>
      </c>
      <c r="I706" s="18">
        <v>19960.5</v>
      </c>
      <c r="J706" s="25" t="s">
        <v>1815</v>
      </c>
    </row>
    <row r="707" spans="1:10" ht="38.25" x14ac:dyDescent="0.2">
      <c r="A707" s="235"/>
      <c r="B707" s="25">
        <v>16</v>
      </c>
      <c r="C707" s="82" t="s">
        <v>218</v>
      </c>
      <c r="D707" s="93" t="s">
        <v>1618</v>
      </c>
      <c r="E707" s="101">
        <v>37</v>
      </c>
      <c r="F707" s="25"/>
      <c r="G707" s="25" t="s">
        <v>2958</v>
      </c>
      <c r="H707" s="88" t="s">
        <v>2962</v>
      </c>
      <c r="I707" s="18">
        <v>2387.6999999999998</v>
      </c>
      <c r="J707" s="25" t="s">
        <v>1815</v>
      </c>
    </row>
    <row r="708" spans="1:10" ht="38.25" x14ac:dyDescent="0.2">
      <c r="A708" s="235"/>
      <c r="B708" s="25">
        <v>17</v>
      </c>
      <c r="C708" s="82" t="s">
        <v>218</v>
      </c>
      <c r="D708" s="93" t="s">
        <v>1641</v>
      </c>
      <c r="E708" s="101" t="s">
        <v>3002</v>
      </c>
      <c r="F708" s="25"/>
      <c r="G708" s="25" t="s">
        <v>2958</v>
      </c>
      <c r="H708" s="88" t="s">
        <v>3003</v>
      </c>
      <c r="I708" s="18">
        <v>66393.600000000006</v>
      </c>
      <c r="J708" s="25" t="s">
        <v>1815</v>
      </c>
    </row>
    <row r="709" spans="1:10" ht="38.25" x14ac:dyDescent="0.2">
      <c r="A709" s="235"/>
      <c r="B709" s="25">
        <v>18</v>
      </c>
      <c r="C709" s="82" t="s">
        <v>45</v>
      </c>
      <c r="D709" s="93" t="s">
        <v>1641</v>
      </c>
      <c r="E709" s="101">
        <v>32</v>
      </c>
      <c r="F709" s="25"/>
      <c r="G709" s="25" t="s">
        <v>2958</v>
      </c>
      <c r="H709" s="88" t="s">
        <v>3004</v>
      </c>
      <c r="I709" s="18">
        <v>49875</v>
      </c>
      <c r="J709" s="25" t="s">
        <v>1815</v>
      </c>
    </row>
    <row r="710" spans="1:10" ht="38.25" x14ac:dyDescent="0.2">
      <c r="A710" s="235"/>
      <c r="B710" s="25">
        <v>19</v>
      </c>
      <c r="C710" s="82" t="s">
        <v>78</v>
      </c>
      <c r="D710" s="93" t="s">
        <v>1641</v>
      </c>
      <c r="E710" s="101">
        <v>17</v>
      </c>
      <c r="F710" s="25"/>
      <c r="G710" s="25" t="s">
        <v>2958</v>
      </c>
      <c r="H710" s="88" t="s">
        <v>3005</v>
      </c>
      <c r="I710" s="18">
        <v>3270.75</v>
      </c>
      <c r="J710" s="25" t="s">
        <v>1815</v>
      </c>
    </row>
    <row r="711" spans="1:10" ht="38.25" x14ac:dyDescent="0.2">
      <c r="A711" s="235"/>
      <c r="B711" s="25">
        <v>20</v>
      </c>
      <c r="C711" s="82" t="s">
        <v>53</v>
      </c>
      <c r="D711" s="170" t="s">
        <v>1656</v>
      </c>
      <c r="E711" s="101">
        <v>29</v>
      </c>
      <c r="F711" s="25"/>
      <c r="G711" s="25" t="s">
        <v>2636</v>
      </c>
      <c r="H711" s="88" t="s">
        <v>3239</v>
      </c>
      <c r="I711" s="18">
        <v>472.5</v>
      </c>
      <c r="J711" s="25" t="s">
        <v>1815</v>
      </c>
    </row>
    <row r="712" spans="1:10" ht="51" x14ac:dyDescent="0.2">
      <c r="A712" s="235"/>
      <c r="B712" s="25">
        <v>21</v>
      </c>
      <c r="C712" s="82" t="s">
        <v>2828</v>
      </c>
      <c r="D712" s="93" t="s">
        <v>1641</v>
      </c>
      <c r="E712" s="101" t="s">
        <v>3440</v>
      </c>
      <c r="F712" s="25"/>
      <c r="G712" s="25" t="s">
        <v>2958</v>
      </c>
      <c r="H712" s="88" t="s">
        <v>3441</v>
      </c>
      <c r="I712" s="18">
        <v>94280.38</v>
      </c>
      <c r="J712" s="25" t="s">
        <v>1815</v>
      </c>
    </row>
    <row r="713" spans="1:10" ht="38.25" x14ac:dyDescent="0.2">
      <c r="A713" s="235"/>
      <c r="B713" s="25">
        <v>22</v>
      </c>
      <c r="C713" s="82" t="s">
        <v>2828</v>
      </c>
      <c r="D713" s="170" t="s">
        <v>2554</v>
      </c>
      <c r="E713" s="101" t="s">
        <v>3635</v>
      </c>
      <c r="F713" s="25"/>
      <c r="G713" s="25" t="s">
        <v>3636</v>
      </c>
      <c r="H713" s="88" t="s">
        <v>3637</v>
      </c>
      <c r="I713" s="18">
        <v>439716.31</v>
      </c>
      <c r="J713" s="25" t="s">
        <v>1815</v>
      </c>
    </row>
    <row r="714" spans="1:10" ht="38.25" x14ac:dyDescent="0.2">
      <c r="A714" s="235"/>
      <c r="B714" s="25">
        <v>23</v>
      </c>
      <c r="C714" s="82" t="s">
        <v>3638</v>
      </c>
      <c r="D714" s="170" t="s">
        <v>2554</v>
      </c>
      <c r="E714" s="101">
        <v>32</v>
      </c>
      <c r="F714" s="25"/>
      <c r="G714" s="25" t="s">
        <v>3636</v>
      </c>
      <c r="H714" s="88" t="s">
        <v>3639</v>
      </c>
      <c r="I714" s="18">
        <v>165375</v>
      </c>
      <c r="J714" s="25" t="s">
        <v>1815</v>
      </c>
    </row>
    <row r="715" spans="1:10" ht="38.25" x14ac:dyDescent="0.2">
      <c r="A715" s="235"/>
      <c r="B715" s="25">
        <v>24</v>
      </c>
      <c r="C715" s="82" t="s">
        <v>53</v>
      </c>
      <c r="D715" s="170" t="s">
        <v>2554</v>
      </c>
      <c r="E715" s="101" t="s">
        <v>3640</v>
      </c>
      <c r="F715" s="25"/>
      <c r="G715" s="25" t="s">
        <v>3636</v>
      </c>
      <c r="H715" s="88" t="s">
        <v>3637</v>
      </c>
      <c r="I715" s="18">
        <v>61425</v>
      </c>
      <c r="J715" s="25" t="s">
        <v>759</v>
      </c>
    </row>
    <row r="716" spans="1:10" ht="38.25" x14ac:dyDescent="0.2">
      <c r="A716" s="235"/>
      <c r="B716" s="25">
        <v>25</v>
      </c>
      <c r="C716" s="82" t="s">
        <v>53</v>
      </c>
      <c r="D716" s="170" t="s">
        <v>1641</v>
      </c>
      <c r="E716" s="101" t="s">
        <v>3759</v>
      </c>
      <c r="F716" s="25"/>
      <c r="G716" s="25" t="s">
        <v>2958</v>
      </c>
      <c r="H716" s="88" t="s">
        <v>3760</v>
      </c>
      <c r="I716" s="18">
        <v>344505</v>
      </c>
      <c r="J716" s="25" t="s">
        <v>759</v>
      </c>
    </row>
    <row r="717" spans="1:10" ht="38.25" x14ac:dyDescent="0.2">
      <c r="A717" s="235"/>
      <c r="B717" s="25">
        <v>26</v>
      </c>
      <c r="C717" s="82" t="s">
        <v>2828</v>
      </c>
      <c r="D717" s="170" t="s">
        <v>2560</v>
      </c>
      <c r="E717" s="101" t="s">
        <v>3761</v>
      </c>
      <c r="F717" s="25"/>
      <c r="G717" s="25" t="s">
        <v>3468</v>
      </c>
      <c r="H717" s="88" t="s">
        <v>3762</v>
      </c>
      <c r="I717" s="18">
        <v>32497.5</v>
      </c>
      <c r="J717" s="25" t="s">
        <v>759</v>
      </c>
    </row>
    <row r="718" spans="1:10" ht="38.25" x14ac:dyDescent="0.2">
      <c r="A718" s="235"/>
      <c r="B718" s="25">
        <v>27</v>
      </c>
      <c r="C718" s="82" t="s">
        <v>78</v>
      </c>
      <c r="D718" s="170" t="s">
        <v>1625</v>
      </c>
      <c r="E718" s="101">
        <v>17</v>
      </c>
      <c r="F718" s="25"/>
      <c r="G718" s="25" t="s">
        <v>3242</v>
      </c>
      <c r="H718" s="88" t="s">
        <v>4119</v>
      </c>
      <c r="I718" s="18">
        <f>9812.25</f>
        <v>9812.25</v>
      </c>
      <c r="J718" s="25" t="s">
        <v>759</v>
      </c>
    </row>
    <row r="719" spans="1:10" ht="38.25" x14ac:dyDescent="0.2">
      <c r="A719" s="235"/>
      <c r="B719" s="25">
        <v>28</v>
      </c>
      <c r="C719" s="82" t="s">
        <v>218</v>
      </c>
      <c r="D719" s="170" t="s">
        <v>1625</v>
      </c>
      <c r="E719" s="101" t="s">
        <v>3002</v>
      </c>
      <c r="F719" s="25"/>
      <c r="G719" s="25" t="s">
        <v>3811</v>
      </c>
      <c r="H719" s="88" t="s">
        <v>4120</v>
      </c>
      <c r="I719" s="18">
        <f>13443.05+4774.88</f>
        <v>18217.93</v>
      </c>
      <c r="J719" s="25" t="s">
        <v>759</v>
      </c>
    </row>
    <row r="720" spans="1:10" ht="38.25" x14ac:dyDescent="0.2">
      <c r="A720" s="236"/>
      <c r="B720" s="25">
        <v>29</v>
      </c>
      <c r="C720" s="82" t="s">
        <v>53</v>
      </c>
      <c r="D720" s="170" t="s">
        <v>1625</v>
      </c>
      <c r="E720" s="101" t="s">
        <v>3759</v>
      </c>
      <c r="F720" s="25"/>
      <c r="G720" s="25" t="s">
        <v>3251</v>
      </c>
      <c r="H720" s="88" t="s">
        <v>4121</v>
      </c>
      <c r="I720" s="18">
        <f>37464+220500+75600+9450</f>
        <v>343014</v>
      </c>
      <c r="J720" s="25" t="s">
        <v>759</v>
      </c>
    </row>
    <row r="721" spans="1:10" ht="51" x14ac:dyDescent="0.2">
      <c r="A721" s="234" t="s">
        <v>4127</v>
      </c>
      <c r="B721" s="25">
        <v>1</v>
      </c>
      <c r="C721" s="82" t="s">
        <v>2828</v>
      </c>
      <c r="D721" s="170" t="s">
        <v>1625</v>
      </c>
      <c r="E721" s="101" t="s">
        <v>4128</v>
      </c>
      <c r="F721" s="25"/>
      <c r="G721" s="25" t="s">
        <v>3973</v>
      </c>
      <c r="H721" s="88" t="s">
        <v>4129</v>
      </c>
      <c r="I721" s="18">
        <f>68722.5+12593.7+13750+21250+30000+84000+8400+9371.25+51738.75+35437.5+1250+5355</f>
        <v>341868.7</v>
      </c>
      <c r="J721" s="101" t="s">
        <v>4130</v>
      </c>
    </row>
    <row r="722" spans="1:10" ht="51" x14ac:dyDescent="0.2">
      <c r="A722" s="236"/>
      <c r="B722" s="25">
        <v>2</v>
      </c>
      <c r="C722" s="82" t="s">
        <v>3638</v>
      </c>
      <c r="D722" s="170" t="s">
        <v>1625</v>
      </c>
      <c r="E722" s="101" t="s">
        <v>4131</v>
      </c>
      <c r="F722" s="25"/>
      <c r="G722" s="25" t="s">
        <v>4107</v>
      </c>
      <c r="H722" s="88" t="s">
        <v>4132</v>
      </c>
      <c r="I722" s="18">
        <f>15393+41250</f>
        <v>56643</v>
      </c>
      <c r="J722" s="101" t="s">
        <v>4130</v>
      </c>
    </row>
    <row r="723" spans="1:10" s="6" customFormat="1" ht="38.25" customHeight="1" x14ac:dyDescent="0.2">
      <c r="A723" s="218" t="s">
        <v>2831</v>
      </c>
      <c r="B723" s="40">
        <v>1</v>
      </c>
      <c r="C723" s="152" t="s">
        <v>2828</v>
      </c>
      <c r="D723" s="153" t="s">
        <v>2788</v>
      </c>
      <c r="E723" s="104" t="s">
        <v>2832</v>
      </c>
      <c r="F723" s="40"/>
      <c r="G723" s="40" t="s">
        <v>2823</v>
      </c>
      <c r="H723" s="136" t="s">
        <v>2833</v>
      </c>
      <c r="I723" s="114">
        <v>49687.5</v>
      </c>
      <c r="J723" s="40" t="s">
        <v>1815</v>
      </c>
    </row>
    <row r="724" spans="1:10" s="6" customFormat="1" ht="38.25" x14ac:dyDescent="0.2">
      <c r="A724" s="219"/>
      <c r="B724" s="40">
        <v>2</v>
      </c>
      <c r="C724" s="152" t="s">
        <v>78</v>
      </c>
      <c r="D724" s="153" t="s">
        <v>2788</v>
      </c>
      <c r="E724" s="104" t="s">
        <v>2834</v>
      </c>
      <c r="F724" s="40"/>
      <c r="G724" s="40" t="s">
        <v>2835</v>
      </c>
      <c r="H724" s="136" t="s">
        <v>2836</v>
      </c>
      <c r="I724" s="114">
        <v>400269</v>
      </c>
      <c r="J724" s="40" t="s">
        <v>1815</v>
      </c>
    </row>
    <row r="725" spans="1:10" s="6" customFormat="1" ht="38.25" x14ac:dyDescent="0.2">
      <c r="A725" s="219"/>
      <c r="B725" s="40">
        <v>3</v>
      </c>
      <c r="C725" s="152" t="s">
        <v>1728</v>
      </c>
      <c r="D725" s="153" t="s">
        <v>2788</v>
      </c>
      <c r="E725" s="104">
        <v>57</v>
      </c>
      <c r="F725" s="40"/>
      <c r="G725" s="40" t="s">
        <v>2823</v>
      </c>
      <c r="H725" s="136" t="s">
        <v>2838</v>
      </c>
      <c r="I725" s="114">
        <v>19375</v>
      </c>
      <c r="J725" s="40" t="s">
        <v>1815</v>
      </c>
    </row>
    <row r="726" spans="1:10" s="6" customFormat="1" ht="38.25" x14ac:dyDescent="0.2">
      <c r="A726" s="219"/>
      <c r="B726" s="40">
        <v>4</v>
      </c>
      <c r="C726" s="152" t="s">
        <v>45</v>
      </c>
      <c r="D726" s="153" t="s">
        <v>2788</v>
      </c>
      <c r="E726" s="104">
        <v>60</v>
      </c>
      <c r="F726" s="40"/>
      <c r="G726" s="40" t="s">
        <v>2825</v>
      </c>
      <c r="H726" s="136" t="s">
        <v>2840</v>
      </c>
      <c r="I726" s="114">
        <v>4125</v>
      </c>
      <c r="J726" s="40" t="s">
        <v>1815</v>
      </c>
    </row>
    <row r="727" spans="1:10" s="6" customFormat="1" ht="38.25" x14ac:dyDescent="0.2">
      <c r="A727" s="219"/>
      <c r="B727" s="40">
        <v>5</v>
      </c>
      <c r="C727" s="152" t="s">
        <v>2133</v>
      </c>
      <c r="D727" s="153" t="s">
        <v>2788</v>
      </c>
      <c r="E727" s="104">
        <v>56</v>
      </c>
      <c r="F727" s="40"/>
      <c r="G727" s="40" t="s">
        <v>2825</v>
      </c>
      <c r="H727" s="136" t="s">
        <v>2841</v>
      </c>
      <c r="I727" s="114">
        <v>166250</v>
      </c>
      <c r="J727" s="40" t="s">
        <v>1815</v>
      </c>
    </row>
    <row r="728" spans="1:10" s="6" customFormat="1" ht="38.25" x14ac:dyDescent="0.2">
      <c r="A728" s="219"/>
      <c r="B728" s="40">
        <v>6</v>
      </c>
      <c r="C728" s="152" t="s">
        <v>1728</v>
      </c>
      <c r="D728" s="153" t="s">
        <v>1618</v>
      </c>
      <c r="E728" s="104">
        <v>57</v>
      </c>
      <c r="F728" s="40"/>
      <c r="G728" s="40" t="s">
        <v>2958</v>
      </c>
      <c r="H728" s="136" t="s">
        <v>2963</v>
      </c>
      <c r="I728" s="114">
        <v>6975</v>
      </c>
      <c r="J728" s="40" t="s">
        <v>1815</v>
      </c>
    </row>
    <row r="729" spans="1:10" s="6" customFormat="1" ht="38.25" x14ac:dyDescent="0.2">
      <c r="A729" s="219"/>
      <c r="B729" s="40">
        <v>7</v>
      </c>
      <c r="C729" s="152" t="s">
        <v>45</v>
      </c>
      <c r="D729" s="153" t="s">
        <v>1618</v>
      </c>
      <c r="E729" s="104">
        <v>60</v>
      </c>
      <c r="F729" s="40"/>
      <c r="G729" s="40" t="s">
        <v>2958</v>
      </c>
      <c r="H729" s="136" t="s">
        <v>2964</v>
      </c>
      <c r="I729" s="114">
        <v>4125</v>
      </c>
      <c r="J729" s="40" t="s">
        <v>1815</v>
      </c>
    </row>
    <row r="730" spans="1:10" s="6" customFormat="1" ht="38.25" x14ac:dyDescent="0.2">
      <c r="A730" s="219"/>
      <c r="B730" s="40">
        <v>8</v>
      </c>
      <c r="C730" s="152" t="s">
        <v>2828</v>
      </c>
      <c r="D730" s="153" t="s">
        <v>1618</v>
      </c>
      <c r="E730" s="104">
        <v>61</v>
      </c>
      <c r="F730" s="40"/>
      <c r="G730" s="40" t="s">
        <v>2958</v>
      </c>
      <c r="H730" s="136" t="s">
        <v>2965</v>
      </c>
      <c r="I730" s="114">
        <v>6250</v>
      </c>
      <c r="J730" s="40" t="s">
        <v>1815</v>
      </c>
    </row>
    <row r="731" spans="1:10" s="6" customFormat="1" ht="38.25" x14ac:dyDescent="0.2">
      <c r="A731" s="219"/>
      <c r="B731" s="40">
        <v>9</v>
      </c>
      <c r="C731" s="152" t="s">
        <v>2828</v>
      </c>
      <c r="D731" s="153" t="s">
        <v>1618</v>
      </c>
      <c r="E731" s="104">
        <v>62</v>
      </c>
      <c r="F731" s="40"/>
      <c r="G731" s="40" t="s">
        <v>2958</v>
      </c>
      <c r="H731" s="136" t="s">
        <v>2965</v>
      </c>
      <c r="I731" s="114">
        <v>26775</v>
      </c>
      <c r="J731" s="40" t="s">
        <v>1815</v>
      </c>
    </row>
    <row r="732" spans="1:10" s="6" customFormat="1" ht="38.25" x14ac:dyDescent="0.2">
      <c r="A732" s="219"/>
      <c r="B732" s="40">
        <v>10</v>
      </c>
      <c r="C732" s="152" t="s">
        <v>45</v>
      </c>
      <c r="D732" s="153" t="s">
        <v>1641</v>
      </c>
      <c r="E732" s="104">
        <v>60</v>
      </c>
      <c r="F732" s="40"/>
      <c r="G732" s="40" t="s">
        <v>2825</v>
      </c>
      <c r="H732" s="136" t="s">
        <v>3238</v>
      </c>
      <c r="I732" s="114">
        <v>8250</v>
      </c>
      <c r="J732" s="40" t="s">
        <v>1815</v>
      </c>
    </row>
    <row r="733" spans="1:10" s="6" customFormat="1" ht="38.25" x14ac:dyDescent="0.2">
      <c r="A733" s="219"/>
      <c r="B733" s="40">
        <v>11</v>
      </c>
      <c r="C733" s="152" t="s">
        <v>45</v>
      </c>
      <c r="D733" s="171" t="s">
        <v>1656</v>
      </c>
      <c r="E733" s="104">
        <v>60</v>
      </c>
      <c r="F733" s="40"/>
      <c r="G733" s="40" t="s">
        <v>2661</v>
      </c>
      <c r="H733" s="136" t="s">
        <v>3240</v>
      </c>
      <c r="I733" s="114">
        <v>1237.5</v>
      </c>
      <c r="J733" s="40" t="s">
        <v>1815</v>
      </c>
    </row>
    <row r="734" spans="1:10" s="6" customFormat="1" ht="51" x14ac:dyDescent="0.2">
      <c r="A734" s="219"/>
      <c r="B734" s="40">
        <v>12</v>
      </c>
      <c r="C734" s="152" t="s">
        <v>2828</v>
      </c>
      <c r="D734" s="153" t="s">
        <v>1641</v>
      </c>
      <c r="E734" s="104" t="s">
        <v>3438</v>
      </c>
      <c r="F734" s="40"/>
      <c r="G734" s="40" t="s">
        <v>2825</v>
      </c>
      <c r="H734" s="136" t="s">
        <v>3439</v>
      </c>
      <c r="I734" s="114">
        <v>83044.38</v>
      </c>
      <c r="J734" s="40" t="s">
        <v>1815</v>
      </c>
    </row>
    <row r="735" spans="1:10" s="6" customFormat="1" ht="38.25" x14ac:dyDescent="0.2">
      <c r="A735" s="219"/>
      <c r="B735" s="40">
        <v>13</v>
      </c>
      <c r="C735" s="152" t="s">
        <v>78</v>
      </c>
      <c r="D735" s="153" t="s">
        <v>2554</v>
      </c>
      <c r="E735" s="104">
        <v>48</v>
      </c>
      <c r="F735" s="40"/>
      <c r="G735" s="40" t="s">
        <v>3636</v>
      </c>
      <c r="H735" s="136" t="s">
        <v>3637</v>
      </c>
      <c r="I735" s="114">
        <v>46709.38</v>
      </c>
      <c r="J735" s="40" t="s">
        <v>1815</v>
      </c>
    </row>
    <row r="736" spans="1:10" s="6" customFormat="1" ht="38.25" x14ac:dyDescent="0.2">
      <c r="A736" s="219"/>
      <c r="B736" s="40">
        <v>14</v>
      </c>
      <c r="C736" s="152" t="s">
        <v>3638</v>
      </c>
      <c r="D736" s="153" t="s">
        <v>2554</v>
      </c>
      <c r="E736" s="104">
        <v>60</v>
      </c>
      <c r="F736" s="40"/>
      <c r="G736" s="40" t="s">
        <v>3636</v>
      </c>
      <c r="H736" s="136" t="s">
        <v>3641</v>
      </c>
      <c r="I736" s="114">
        <v>12375</v>
      </c>
      <c r="J736" s="40" t="s">
        <v>1815</v>
      </c>
    </row>
    <row r="737" spans="1:10" s="6" customFormat="1" ht="38.25" x14ac:dyDescent="0.2">
      <c r="A737" s="219"/>
      <c r="B737" s="40">
        <v>15</v>
      </c>
      <c r="C737" s="152" t="s">
        <v>2828</v>
      </c>
      <c r="D737" s="153" t="s">
        <v>2554</v>
      </c>
      <c r="E737" s="104">
        <v>61</v>
      </c>
      <c r="F737" s="40"/>
      <c r="G737" s="40" t="s">
        <v>3636</v>
      </c>
      <c r="H737" s="136" t="s">
        <v>3637</v>
      </c>
      <c r="I737" s="114">
        <v>18750</v>
      </c>
      <c r="J737" s="40" t="s">
        <v>1815</v>
      </c>
    </row>
    <row r="738" spans="1:10" s="6" customFormat="1" ht="38.25" x14ac:dyDescent="0.2">
      <c r="A738" s="219"/>
      <c r="B738" s="40">
        <v>16</v>
      </c>
      <c r="C738" s="152" t="s">
        <v>2133</v>
      </c>
      <c r="D738" s="153" t="s">
        <v>2554</v>
      </c>
      <c r="E738" s="104">
        <v>56</v>
      </c>
      <c r="F738" s="40"/>
      <c r="G738" s="40" t="s">
        <v>3636</v>
      </c>
      <c r="H738" s="136" t="s">
        <v>3637</v>
      </c>
      <c r="I738" s="114">
        <v>166250</v>
      </c>
      <c r="J738" s="40" t="s">
        <v>1815</v>
      </c>
    </row>
    <row r="739" spans="1:10" s="6" customFormat="1" ht="38.25" x14ac:dyDescent="0.2">
      <c r="A739" s="219"/>
      <c r="B739" s="40">
        <v>17</v>
      </c>
      <c r="C739" s="152" t="s">
        <v>1728</v>
      </c>
      <c r="D739" s="153" t="s">
        <v>2554</v>
      </c>
      <c r="E739" s="104">
        <v>57</v>
      </c>
      <c r="F739" s="40"/>
      <c r="G739" s="40" t="s">
        <v>3636</v>
      </c>
      <c r="H739" s="136" t="s">
        <v>3637</v>
      </c>
      <c r="I739" s="114">
        <v>3875</v>
      </c>
      <c r="J739" s="40" t="s">
        <v>1815</v>
      </c>
    </row>
    <row r="740" spans="1:10" s="6" customFormat="1" ht="38.25" x14ac:dyDescent="0.2">
      <c r="A740" s="219"/>
      <c r="B740" s="40">
        <v>18</v>
      </c>
      <c r="C740" s="152" t="s">
        <v>1728</v>
      </c>
      <c r="D740" s="153" t="s">
        <v>1641</v>
      </c>
      <c r="E740" s="104">
        <v>57</v>
      </c>
      <c r="F740" s="40"/>
      <c r="G740" s="40" t="s">
        <v>2825</v>
      </c>
      <c r="H740" s="136" t="s">
        <v>3763</v>
      </c>
      <c r="I740" s="114">
        <v>3875</v>
      </c>
      <c r="J740" s="40" t="s">
        <v>1815</v>
      </c>
    </row>
    <row r="741" spans="1:10" s="6" customFormat="1" ht="38.25" x14ac:dyDescent="0.2">
      <c r="A741" s="219"/>
      <c r="B741" s="40">
        <v>19</v>
      </c>
      <c r="C741" s="152" t="s">
        <v>2133</v>
      </c>
      <c r="D741" s="153" t="s">
        <v>1641</v>
      </c>
      <c r="E741" s="104">
        <v>56</v>
      </c>
      <c r="F741" s="40"/>
      <c r="G741" s="40" t="s">
        <v>2825</v>
      </c>
      <c r="H741" s="136" t="s">
        <v>3764</v>
      </c>
      <c r="I741" s="114">
        <v>19950</v>
      </c>
      <c r="J741" s="40" t="s">
        <v>1815</v>
      </c>
    </row>
    <row r="742" spans="1:10" s="6" customFormat="1" ht="38.25" x14ac:dyDescent="0.2">
      <c r="A742" s="219"/>
      <c r="B742" s="40">
        <v>20</v>
      </c>
      <c r="C742" s="152" t="s">
        <v>2133</v>
      </c>
      <c r="D742" s="153" t="s">
        <v>1637</v>
      </c>
      <c r="E742" s="104">
        <v>56</v>
      </c>
      <c r="F742" s="40"/>
      <c r="G742" s="40" t="s">
        <v>3694</v>
      </c>
      <c r="H742" s="136" t="s">
        <v>4101</v>
      </c>
      <c r="I742" s="114">
        <v>4987.5</v>
      </c>
      <c r="J742" s="40" t="s">
        <v>1815</v>
      </c>
    </row>
    <row r="743" spans="1:10" s="6" customFormat="1" ht="38.25" x14ac:dyDescent="0.2">
      <c r="A743" s="219"/>
      <c r="B743" s="40">
        <v>21</v>
      </c>
      <c r="C743" s="152" t="s">
        <v>1728</v>
      </c>
      <c r="D743" s="153" t="s">
        <v>1637</v>
      </c>
      <c r="E743" s="104">
        <v>57</v>
      </c>
      <c r="F743" s="40"/>
      <c r="G743" s="40" t="s">
        <v>3694</v>
      </c>
      <c r="H743" s="136" t="s">
        <v>4102</v>
      </c>
      <c r="I743" s="114">
        <v>387.5</v>
      </c>
      <c r="J743" s="40" t="s">
        <v>1815</v>
      </c>
    </row>
    <row r="744" spans="1:10" s="6" customFormat="1" ht="38.25" x14ac:dyDescent="0.2">
      <c r="A744" s="219"/>
      <c r="B744" s="40">
        <v>22</v>
      </c>
      <c r="C744" s="152" t="s">
        <v>3638</v>
      </c>
      <c r="D744" s="153" t="s">
        <v>1637</v>
      </c>
      <c r="E744" s="104">
        <v>60</v>
      </c>
      <c r="F744" s="40"/>
      <c r="G744" s="40" t="s">
        <v>4068</v>
      </c>
      <c r="H744" s="136" t="s">
        <v>4103</v>
      </c>
      <c r="I744" s="114">
        <v>41.25</v>
      </c>
      <c r="J744" s="40" t="s">
        <v>1815</v>
      </c>
    </row>
    <row r="745" spans="1:10" s="6" customFormat="1" ht="38.25" x14ac:dyDescent="0.2">
      <c r="A745" s="219"/>
      <c r="B745" s="40">
        <v>23</v>
      </c>
      <c r="C745" s="152" t="s">
        <v>78</v>
      </c>
      <c r="D745" s="153" t="s">
        <v>1637</v>
      </c>
      <c r="E745" s="104">
        <v>48</v>
      </c>
      <c r="F745" s="40"/>
      <c r="G745" s="40" t="s">
        <v>3722</v>
      </c>
      <c r="H745" s="136" t="s">
        <v>4104</v>
      </c>
      <c r="I745" s="114">
        <v>34828.129999999997</v>
      </c>
      <c r="J745" s="40" t="s">
        <v>1815</v>
      </c>
    </row>
    <row r="746" spans="1:10" s="6" customFormat="1" ht="38.25" x14ac:dyDescent="0.2">
      <c r="A746" s="219"/>
      <c r="B746" s="40">
        <v>24</v>
      </c>
      <c r="C746" s="152" t="s">
        <v>2828</v>
      </c>
      <c r="D746" s="153" t="s">
        <v>1637</v>
      </c>
      <c r="E746" s="104" t="s">
        <v>4105</v>
      </c>
      <c r="F746" s="40"/>
      <c r="G746" s="40" t="s">
        <v>3973</v>
      </c>
      <c r="H746" s="136" t="s">
        <v>4106</v>
      </c>
      <c r="I746" s="114">
        <v>11536.88</v>
      </c>
      <c r="J746" s="40" t="s">
        <v>1815</v>
      </c>
    </row>
    <row r="747" spans="1:10" s="6" customFormat="1" ht="38.25" x14ac:dyDescent="0.2">
      <c r="A747" s="219"/>
      <c r="B747" s="40">
        <v>25</v>
      </c>
      <c r="C747" s="152" t="s">
        <v>1728</v>
      </c>
      <c r="D747" s="153" t="s">
        <v>1625</v>
      </c>
      <c r="E747" s="104">
        <v>57</v>
      </c>
      <c r="F747" s="40"/>
      <c r="G747" s="40" t="s">
        <v>3811</v>
      </c>
      <c r="H747" s="136" t="s">
        <v>4122</v>
      </c>
      <c r="I747" s="114">
        <v>19375</v>
      </c>
      <c r="J747" s="40" t="s">
        <v>1815</v>
      </c>
    </row>
    <row r="748" spans="1:10" s="6" customFormat="1" ht="38.25" x14ac:dyDescent="0.2">
      <c r="A748" s="220"/>
      <c r="B748" s="40">
        <v>26</v>
      </c>
      <c r="C748" s="152" t="s">
        <v>2133</v>
      </c>
      <c r="D748" s="153" t="s">
        <v>1625</v>
      </c>
      <c r="E748" s="104">
        <v>56</v>
      </c>
      <c r="F748" s="40"/>
      <c r="G748" s="40" t="s">
        <v>3652</v>
      </c>
      <c r="H748" s="136" t="s">
        <v>4123</v>
      </c>
      <c r="I748" s="114">
        <f>166250</f>
        <v>166250</v>
      </c>
      <c r="J748" s="40" t="s">
        <v>1815</v>
      </c>
    </row>
    <row r="749" spans="1:10" s="6" customFormat="1" ht="38.25" customHeight="1" x14ac:dyDescent="0.2">
      <c r="A749" s="218" t="s">
        <v>3642</v>
      </c>
      <c r="B749" s="40">
        <v>1</v>
      </c>
      <c r="C749" s="152" t="s">
        <v>3638</v>
      </c>
      <c r="D749" s="153" t="s">
        <v>2554</v>
      </c>
      <c r="E749" s="104" t="s">
        <v>3643</v>
      </c>
      <c r="F749" s="40"/>
      <c r="G749" s="40" t="s">
        <v>3636</v>
      </c>
      <c r="H749" s="136" t="s">
        <v>3644</v>
      </c>
      <c r="I749" s="114">
        <v>103951.25</v>
      </c>
      <c r="J749" s="40" t="s">
        <v>1815</v>
      </c>
    </row>
    <row r="750" spans="1:10" s="6" customFormat="1" ht="38.25" x14ac:dyDescent="0.2">
      <c r="A750" s="219"/>
      <c r="B750" s="40">
        <v>2</v>
      </c>
      <c r="C750" s="152" t="s">
        <v>2828</v>
      </c>
      <c r="D750" s="153" t="s">
        <v>2554</v>
      </c>
      <c r="E750" s="104" t="s">
        <v>3645</v>
      </c>
      <c r="F750" s="40"/>
      <c r="G750" s="40" t="s">
        <v>3636</v>
      </c>
      <c r="H750" s="136" t="s">
        <v>3646</v>
      </c>
      <c r="I750" s="114">
        <v>127135</v>
      </c>
      <c r="J750" s="40" t="s">
        <v>1815</v>
      </c>
    </row>
    <row r="751" spans="1:10" s="6" customFormat="1" ht="39" customHeight="1" x14ac:dyDescent="0.2">
      <c r="A751" s="219"/>
      <c r="B751" s="40">
        <v>3</v>
      </c>
      <c r="C751" s="152" t="s">
        <v>78</v>
      </c>
      <c r="D751" s="153" t="s">
        <v>2554</v>
      </c>
      <c r="E751" s="104">
        <v>107</v>
      </c>
      <c r="F751" s="40"/>
      <c r="G751" s="40" t="s">
        <v>3636</v>
      </c>
      <c r="H751" s="136" t="s">
        <v>3646</v>
      </c>
      <c r="I751" s="114">
        <v>28245</v>
      </c>
      <c r="J751" s="40" t="s">
        <v>1815</v>
      </c>
    </row>
    <row r="752" spans="1:10" s="6" customFormat="1" ht="39" customHeight="1" x14ac:dyDescent="0.2">
      <c r="A752" s="219"/>
      <c r="B752" s="40">
        <v>4</v>
      </c>
      <c r="C752" s="152" t="s">
        <v>3638</v>
      </c>
      <c r="D752" s="153" t="s">
        <v>1618</v>
      </c>
      <c r="E752" s="104">
        <v>104</v>
      </c>
      <c r="F752" s="40"/>
      <c r="G752" s="40" t="s">
        <v>3652</v>
      </c>
      <c r="H752" s="136" t="s">
        <v>3773</v>
      </c>
      <c r="I752" s="114">
        <v>126000</v>
      </c>
      <c r="J752" s="40" t="s">
        <v>1815</v>
      </c>
    </row>
    <row r="753" spans="1:10" s="6" customFormat="1" ht="39" customHeight="1" x14ac:dyDescent="0.2">
      <c r="A753" s="219"/>
      <c r="B753" s="40">
        <v>5</v>
      </c>
      <c r="C753" s="152" t="s">
        <v>3638</v>
      </c>
      <c r="D753" s="153" t="s">
        <v>1618</v>
      </c>
      <c r="E753" s="104">
        <v>100</v>
      </c>
      <c r="F753" s="40"/>
      <c r="G753" s="40" t="s">
        <v>3652</v>
      </c>
      <c r="H753" s="136" t="s">
        <v>3773</v>
      </c>
      <c r="I753" s="114">
        <v>30450</v>
      </c>
      <c r="J753" s="40" t="s">
        <v>1815</v>
      </c>
    </row>
    <row r="754" spans="1:10" s="6" customFormat="1" ht="39" customHeight="1" x14ac:dyDescent="0.2">
      <c r="A754" s="219"/>
      <c r="B754" s="40">
        <v>6</v>
      </c>
      <c r="C754" s="152" t="s">
        <v>3638</v>
      </c>
      <c r="D754" s="153" t="s">
        <v>1618</v>
      </c>
      <c r="E754" s="104">
        <v>93</v>
      </c>
      <c r="F754" s="40"/>
      <c r="G754" s="40" t="s">
        <v>3652</v>
      </c>
      <c r="H754" s="136" t="s">
        <v>3773</v>
      </c>
      <c r="I754" s="114">
        <v>48826.25</v>
      </c>
      <c r="J754" s="40" t="s">
        <v>1815</v>
      </c>
    </row>
    <row r="755" spans="1:10" s="6" customFormat="1" ht="39" customHeight="1" x14ac:dyDescent="0.2">
      <c r="A755" s="219"/>
      <c r="B755" s="40">
        <v>7</v>
      </c>
      <c r="C755" s="152" t="s">
        <v>3638</v>
      </c>
      <c r="D755" s="153" t="s">
        <v>1618</v>
      </c>
      <c r="E755" s="104">
        <v>91</v>
      </c>
      <c r="F755" s="40"/>
      <c r="G755" s="40" t="s">
        <v>3652</v>
      </c>
      <c r="H755" s="136" t="s">
        <v>3773</v>
      </c>
      <c r="I755" s="114">
        <v>48301.25</v>
      </c>
      <c r="J755" s="40" t="s">
        <v>1815</v>
      </c>
    </row>
    <row r="756" spans="1:10" s="6" customFormat="1" ht="39" customHeight="1" x14ac:dyDescent="0.2">
      <c r="A756" s="219"/>
      <c r="B756" s="40">
        <v>8</v>
      </c>
      <c r="C756" s="152" t="s">
        <v>3638</v>
      </c>
      <c r="D756" s="153" t="s">
        <v>1618</v>
      </c>
      <c r="E756" s="104">
        <v>106</v>
      </c>
      <c r="F756" s="40"/>
      <c r="G756" s="40" t="s">
        <v>3652</v>
      </c>
      <c r="H756" s="136" t="s">
        <v>3773</v>
      </c>
      <c r="I756" s="114">
        <v>53550</v>
      </c>
      <c r="J756" s="40" t="s">
        <v>1815</v>
      </c>
    </row>
    <row r="757" spans="1:10" s="6" customFormat="1" ht="39" customHeight="1" x14ac:dyDescent="0.2">
      <c r="A757" s="219"/>
      <c r="B757" s="40">
        <v>9</v>
      </c>
      <c r="C757" s="152" t="s">
        <v>2828</v>
      </c>
      <c r="D757" s="153" t="s">
        <v>1618</v>
      </c>
      <c r="E757" s="104">
        <v>98</v>
      </c>
      <c r="F757" s="40"/>
      <c r="G757" s="40" t="s">
        <v>3652</v>
      </c>
      <c r="H757" s="136" t="s">
        <v>3772</v>
      </c>
      <c r="I757" s="114">
        <v>32760</v>
      </c>
      <c r="J757" s="40" t="s">
        <v>1815</v>
      </c>
    </row>
    <row r="758" spans="1:10" s="6" customFormat="1" ht="39" customHeight="1" x14ac:dyDescent="0.2">
      <c r="A758" s="219"/>
      <c r="B758" s="40">
        <v>10</v>
      </c>
      <c r="C758" s="152" t="s">
        <v>2828</v>
      </c>
      <c r="D758" s="153" t="s">
        <v>1618</v>
      </c>
      <c r="E758" s="104">
        <v>97</v>
      </c>
      <c r="F758" s="40"/>
      <c r="G758" s="40" t="s">
        <v>3652</v>
      </c>
      <c r="H758" s="136" t="s">
        <v>3772</v>
      </c>
      <c r="I758" s="114">
        <v>21420</v>
      </c>
      <c r="J758" s="40" t="s">
        <v>1815</v>
      </c>
    </row>
    <row r="759" spans="1:10" s="6" customFormat="1" ht="51" x14ac:dyDescent="0.2">
      <c r="A759" s="219"/>
      <c r="B759" s="40">
        <v>11</v>
      </c>
      <c r="C759" s="152" t="s">
        <v>3638</v>
      </c>
      <c r="D759" s="153" t="s">
        <v>1641</v>
      </c>
      <c r="E759" s="104" t="s">
        <v>3765</v>
      </c>
      <c r="F759" s="40"/>
      <c r="G759" s="40" t="s">
        <v>3242</v>
      </c>
      <c r="H759" s="136" t="s">
        <v>3766</v>
      </c>
      <c r="I759" s="114">
        <v>561753.75</v>
      </c>
      <c r="J759" s="40" t="s">
        <v>1815</v>
      </c>
    </row>
    <row r="760" spans="1:10" s="6" customFormat="1" ht="38.25" x14ac:dyDescent="0.2">
      <c r="A760" s="219"/>
      <c r="B760" s="40">
        <v>12</v>
      </c>
      <c r="C760" s="152" t="s">
        <v>78</v>
      </c>
      <c r="D760" s="153" t="s">
        <v>1637</v>
      </c>
      <c r="E760" s="104">
        <v>103</v>
      </c>
      <c r="F760" s="40"/>
      <c r="G760" s="40" t="s">
        <v>4107</v>
      </c>
      <c r="H760" s="136" t="s">
        <v>4108</v>
      </c>
      <c r="I760" s="114">
        <v>13262.5</v>
      </c>
      <c r="J760" s="40" t="s">
        <v>1815</v>
      </c>
    </row>
    <row r="761" spans="1:10" s="6" customFormat="1" ht="38.25" x14ac:dyDescent="0.2">
      <c r="A761" s="219"/>
      <c r="B761" s="40">
        <v>13</v>
      </c>
      <c r="C761" s="152" t="s">
        <v>3638</v>
      </c>
      <c r="D761" s="153" t="s">
        <v>1625</v>
      </c>
      <c r="E761" s="104" t="s">
        <v>4124</v>
      </c>
      <c r="F761" s="40"/>
      <c r="G761" s="40" t="s">
        <v>3973</v>
      </c>
      <c r="H761" s="136" t="s">
        <v>4125</v>
      </c>
      <c r="I761" s="114">
        <f>145426.25+61951.25+48826.25+145000+63000+214200</f>
        <v>678403.75</v>
      </c>
      <c r="J761" s="40" t="s">
        <v>1815</v>
      </c>
    </row>
    <row r="762" spans="1:10" s="6" customFormat="1" ht="38.25" x14ac:dyDescent="0.2">
      <c r="A762" s="220"/>
      <c r="B762" s="40">
        <v>14</v>
      </c>
      <c r="C762" s="152" t="s">
        <v>2828</v>
      </c>
      <c r="D762" s="153" t="s">
        <v>1625</v>
      </c>
      <c r="E762" s="104" t="s">
        <v>3645</v>
      </c>
      <c r="F762" s="40"/>
      <c r="G762" s="40" t="s">
        <v>3973</v>
      </c>
      <c r="H762" s="136" t="s">
        <v>4125</v>
      </c>
      <c r="I762" s="114">
        <f>35700+27300+54600+10250+54601.25</f>
        <v>182451.25</v>
      </c>
      <c r="J762" s="40" t="s">
        <v>1815</v>
      </c>
    </row>
    <row r="763" spans="1:10" s="6" customFormat="1" ht="38.25" customHeight="1" x14ac:dyDescent="0.2">
      <c r="A763" s="218" t="s">
        <v>3006</v>
      </c>
      <c r="B763" s="40">
        <v>1</v>
      </c>
      <c r="C763" s="152" t="s">
        <v>2828</v>
      </c>
      <c r="D763" s="153" t="s">
        <v>1618</v>
      </c>
      <c r="E763" s="104">
        <v>1</v>
      </c>
      <c r="F763" s="40"/>
      <c r="G763" s="40" t="s">
        <v>2958</v>
      </c>
      <c r="H763" s="136" t="s">
        <v>2966</v>
      </c>
      <c r="I763" s="114">
        <f>278801*1.25</f>
        <v>348501.25</v>
      </c>
      <c r="J763" s="40" t="s">
        <v>1815</v>
      </c>
    </row>
    <row r="764" spans="1:10" s="6" customFormat="1" ht="38.25" x14ac:dyDescent="0.2">
      <c r="A764" s="219"/>
      <c r="B764" s="40">
        <v>2</v>
      </c>
      <c r="C764" s="152" t="s">
        <v>78</v>
      </c>
      <c r="D764" s="153" t="s">
        <v>2788</v>
      </c>
      <c r="E764" s="104">
        <v>2</v>
      </c>
      <c r="F764" s="40"/>
      <c r="G764" s="40" t="s">
        <v>2835</v>
      </c>
      <c r="H764" s="136" t="s">
        <v>2837</v>
      </c>
      <c r="I764" s="114">
        <v>203882.75</v>
      </c>
      <c r="J764" s="40" t="s">
        <v>1815</v>
      </c>
    </row>
    <row r="765" spans="1:10" s="6" customFormat="1" ht="38.25" x14ac:dyDescent="0.2">
      <c r="A765" s="219"/>
      <c r="B765" s="40">
        <v>3</v>
      </c>
      <c r="C765" s="152" t="s">
        <v>78</v>
      </c>
      <c r="D765" s="153" t="s">
        <v>1641</v>
      </c>
      <c r="E765" s="104">
        <v>2</v>
      </c>
      <c r="F765" s="40"/>
      <c r="G765" s="40" t="s">
        <v>2835</v>
      </c>
      <c r="H765" s="136" t="s">
        <v>3007</v>
      </c>
      <c r="I765" s="114">
        <v>689643.25</v>
      </c>
      <c r="J765" s="40" t="s">
        <v>1815</v>
      </c>
    </row>
    <row r="766" spans="1:10" s="6" customFormat="1" ht="38.25" x14ac:dyDescent="0.2">
      <c r="A766" s="219"/>
      <c r="B766" s="40">
        <v>4</v>
      </c>
      <c r="C766" s="152" t="s">
        <v>2828</v>
      </c>
      <c r="D766" s="153" t="s">
        <v>2554</v>
      </c>
      <c r="E766" s="104">
        <v>1</v>
      </c>
      <c r="F766" s="40"/>
      <c r="G766" s="40" t="s">
        <v>3636</v>
      </c>
      <c r="H766" s="136" t="s">
        <v>3637</v>
      </c>
      <c r="I766" s="114">
        <v>360235.25</v>
      </c>
      <c r="J766" s="40" t="s">
        <v>1815</v>
      </c>
    </row>
    <row r="767" spans="1:10" s="6" customFormat="1" ht="38.25" x14ac:dyDescent="0.2">
      <c r="A767" s="219"/>
      <c r="B767" s="40">
        <v>5</v>
      </c>
      <c r="C767" s="152" t="s">
        <v>78</v>
      </c>
      <c r="D767" s="153" t="s">
        <v>2554</v>
      </c>
      <c r="E767" s="104">
        <v>2</v>
      </c>
      <c r="F767" s="40"/>
      <c r="G767" s="40" t="s">
        <v>3636</v>
      </c>
      <c r="H767" s="136" t="s">
        <v>3637</v>
      </c>
      <c r="I767" s="114">
        <v>316786.25</v>
      </c>
      <c r="J767" s="40" t="s">
        <v>1815</v>
      </c>
    </row>
    <row r="768" spans="1:10" s="6" customFormat="1" ht="38.25" x14ac:dyDescent="0.2">
      <c r="A768" s="219"/>
      <c r="B768" s="40">
        <v>6</v>
      </c>
      <c r="C768" s="152" t="s">
        <v>78</v>
      </c>
      <c r="D768" s="153" t="s">
        <v>1625</v>
      </c>
      <c r="E768" s="104">
        <v>2</v>
      </c>
      <c r="F768" s="40"/>
      <c r="G768" s="40" t="s">
        <v>3636</v>
      </c>
      <c r="H768" s="136" t="s">
        <v>4126</v>
      </c>
      <c r="I768" s="114">
        <v>1339923.25</v>
      </c>
      <c r="J768" s="40" t="s">
        <v>1815</v>
      </c>
    </row>
    <row r="769" spans="1:10" s="6" customFormat="1" ht="38.25" x14ac:dyDescent="0.2">
      <c r="A769" s="220"/>
      <c r="B769" s="40">
        <v>7</v>
      </c>
      <c r="C769" s="152" t="s">
        <v>2828</v>
      </c>
      <c r="D769" s="153" t="s">
        <v>1625</v>
      </c>
      <c r="E769" s="104">
        <v>1</v>
      </c>
      <c r="F769" s="40"/>
      <c r="G769" s="40" t="s">
        <v>3973</v>
      </c>
      <c r="H769" s="136" t="s">
        <v>4106</v>
      </c>
      <c r="I769" s="114">
        <v>634358.75</v>
      </c>
      <c r="J769" s="40" t="s">
        <v>1815</v>
      </c>
    </row>
    <row r="770" spans="1:10" ht="38.25" x14ac:dyDescent="0.2">
      <c r="A770" s="231" t="s">
        <v>4163</v>
      </c>
      <c r="B770" s="54">
        <v>1</v>
      </c>
      <c r="C770" s="96" t="s">
        <v>53</v>
      </c>
      <c r="D770" s="102" t="s">
        <v>2788</v>
      </c>
      <c r="E770" s="55">
        <v>196</v>
      </c>
      <c r="F770" s="54"/>
      <c r="G770" s="54" t="s">
        <v>2823</v>
      </c>
      <c r="H770" s="88" t="s">
        <v>2872</v>
      </c>
      <c r="I770" s="56">
        <v>129937.5</v>
      </c>
      <c r="J770" s="54" t="s">
        <v>1290</v>
      </c>
    </row>
    <row r="771" spans="1:10" ht="38.25" x14ac:dyDescent="0.2">
      <c r="A771" s="232"/>
      <c r="B771" s="54">
        <v>2</v>
      </c>
      <c r="C771" s="96" t="s">
        <v>1728</v>
      </c>
      <c r="D771" s="102" t="s">
        <v>2788</v>
      </c>
      <c r="E771" s="55" t="s">
        <v>2873</v>
      </c>
      <c r="F771" s="54"/>
      <c r="G771" s="54" t="s">
        <v>2823</v>
      </c>
      <c r="H771" s="88" t="s">
        <v>2874</v>
      </c>
      <c r="I771" s="56">
        <v>1394994.3</v>
      </c>
      <c r="J771" s="54" t="s">
        <v>1290</v>
      </c>
    </row>
    <row r="772" spans="1:10" ht="38.25" x14ac:dyDescent="0.2">
      <c r="A772" s="232"/>
      <c r="B772" s="54">
        <v>3</v>
      </c>
      <c r="C772" s="96" t="s">
        <v>45</v>
      </c>
      <c r="D772" s="102" t="s">
        <v>2788</v>
      </c>
      <c r="E772" s="55" t="s">
        <v>2875</v>
      </c>
      <c r="F772" s="54"/>
      <c r="G772" s="54" t="s">
        <v>2858</v>
      </c>
      <c r="H772" s="88" t="s">
        <v>2876</v>
      </c>
      <c r="I772" s="56">
        <v>45701.25</v>
      </c>
      <c r="J772" s="54" t="s">
        <v>1290</v>
      </c>
    </row>
    <row r="773" spans="1:10" ht="38.25" x14ac:dyDescent="0.2">
      <c r="A773" s="232"/>
      <c r="B773" s="54">
        <v>4</v>
      </c>
      <c r="C773" s="96" t="s">
        <v>148</v>
      </c>
      <c r="D773" s="102" t="s">
        <v>2788</v>
      </c>
      <c r="E773" s="55">
        <v>203</v>
      </c>
      <c r="F773" s="54"/>
      <c r="G773" s="54" t="s">
        <v>2825</v>
      </c>
      <c r="H773" s="88" t="s">
        <v>2877</v>
      </c>
      <c r="I773" s="56">
        <v>1102.5</v>
      </c>
      <c r="J773" s="54" t="s">
        <v>1290</v>
      </c>
    </row>
    <row r="774" spans="1:10" ht="38.25" x14ac:dyDescent="0.2">
      <c r="A774" s="232"/>
      <c r="B774" s="54">
        <v>5</v>
      </c>
      <c r="C774" s="95" t="s">
        <v>2519</v>
      </c>
      <c r="D774" s="102" t="s">
        <v>2788</v>
      </c>
      <c r="E774" s="55" t="s">
        <v>2878</v>
      </c>
      <c r="F774" s="54"/>
      <c r="G774" s="54" t="s">
        <v>2879</v>
      </c>
      <c r="H774" s="88" t="s">
        <v>2880</v>
      </c>
      <c r="I774" s="56">
        <v>83423.34</v>
      </c>
      <c r="J774" s="54" t="s">
        <v>1290</v>
      </c>
    </row>
    <row r="775" spans="1:10" ht="38.25" x14ac:dyDescent="0.2">
      <c r="A775" s="232"/>
      <c r="B775" s="54">
        <v>6</v>
      </c>
      <c r="C775" s="96" t="s">
        <v>1728</v>
      </c>
      <c r="D775" s="102" t="s">
        <v>1618</v>
      </c>
      <c r="E775" s="55" t="s">
        <v>2916</v>
      </c>
      <c r="F775" s="54"/>
      <c r="G775" s="54" t="s">
        <v>2889</v>
      </c>
      <c r="H775" s="88" t="s">
        <v>2917</v>
      </c>
      <c r="I775" s="56">
        <f>17463.6+91022.4+2100+5544+84735+1556.1+36334.2+1331.4+21498.75+20143.2+8432.66+7343.18+492.5</f>
        <v>297996.98999999993</v>
      </c>
      <c r="J775" s="54" t="s">
        <v>1290</v>
      </c>
    </row>
    <row r="776" spans="1:10" ht="38.25" x14ac:dyDescent="0.2">
      <c r="A776" s="232"/>
      <c r="B776" s="54">
        <v>7</v>
      </c>
      <c r="C776" s="95" t="s">
        <v>2519</v>
      </c>
      <c r="D776" s="102" t="s">
        <v>1618</v>
      </c>
      <c r="E776" s="55" t="s">
        <v>2918</v>
      </c>
      <c r="F776" s="54"/>
      <c r="G776" s="54" t="s">
        <v>2889</v>
      </c>
      <c r="H776" s="88" t="s">
        <v>2919</v>
      </c>
      <c r="I776" s="56">
        <f>962.85+1485.75+2763.6+2551.5+4777.5+8741.25+4520.88+2527.35+10068.45+9782.64</f>
        <v>48181.770000000004</v>
      </c>
      <c r="J776" s="54" t="s">
        <v>1290</v>
      </c>
    </row>
    <row r="777" spans="1:10" ht="38.25" x14ac:dyDescent="0.2">
      <c r="A777" s="232"/>
      <c r="B777" s="54">
        <v>8</v>
      </c>
      <c r="C777" s="96" t="s">
        <v>45</v>
      </c>
      <c r="D777" s="102" t="s">
        <v>1618</v>
      </c>
      <c r="E777" s="55" t="s">
        <v>2920</v>
      </c>
      <c r="F777" s="54"/>
      <c r="G777" s="54" t="s">
        <v>2889</v>
      </c>
      <c r="H777" s="88" t="s">
        <v>2921</v>
      </c>
      <c r="I777" s="56">
        <f>11605.65+960.5+12600</f>
        <v>25166.15</v>
      </c>
      <c r="J777" s="54" t="s">
        <v>1290</v>
      </c>
    </row>
    <row r="778" spans="1:10" ht="38.25" x14ac:dyDescent="0.2">
      <c r="A778" s="232"/>
      <c r="B778" s="54">
        <v>9</v>
      </c>
      <c r="C778" s="96" t="s">
        <v>53</v>
      </c>
      <c r="D778" s="102" t="s">
        <v>1618</v>
      </c>
      <c r="E778" s="55">
        <v>196</v>
      </c>
      <c r="F778" s="54"/>
      <c r="G778" s="54" t="s">
        <v>2889</v>
      </c>
      <c r="H778" s="88" t="s">
        <v>2922</v>
      </c>
      <c r="I778" s="56">
        <v>40950</v>
      </c>
      <c r="J778" s="54" t="s">
        <v>1290</v>
      </c>
    </row>
    <row r="779" spans="1:10" ht="38.25" x14ac:dyDescent="0.2">
      <c r="A779" s="232"/>
      <c r="B779" s="54">
        <v>10</v>
      </c>
      <c r="C779" s="96" t="s">
        <v>148</v>
      </c>
      <c r="D779" s="102" t="s">
        <v>1618</v>
      </c>
      <c r="E779" s="55">
        <v>203</v>
      </c>
      <c r="F779" s="54"/>
      <c r="G779" s="54" t="s">
        <v>2654</v>
      </c>
      <c r="H779" s="88" t="s">
        <v>2923</v>
      </c>
      <c r="I779" s="56">
        <v>308.7</v>
      </c>
      <c r="J779" s="54" t="s">
        <v>1290</v>
      </c>
    </row>
    <row r="780" spans="1:10" ht="38.25" x14ac:dyDescent="0.2">
      <c r="A780" s="232"/>
      <c r="B780" s="54">
        <v>11</v>
      </c>
      <c r="C780" s="96" t="s">
        <v>148</v>
      </c>
      <c r="D780" s="102" t="s">
        <v>1641</v>
      </c>
      <c r="E780" s="55">
        <v>203</v>
      </c>
      <c r="F780" s="54"/>
      <c r="G780" s="54" t="s">
        <v>2661</v>
      </c>
      <c r="H780" s="88" t="s">
        <v>2938</v>
      </c>
      <c r="I780" s="56">
        <v>102.9</v>
      </c>
      <c r="J780" s="54" t="s">
        <v>1290</v>
      </c>
    </row>
    <row r="781" spans="1:10" ht="51" x14ac:dyDescent="0.2">
      <c r="A781" s="232"/>
      <c r="B781" s="54">
        <v>12</v>
      </c>
      <c r="C781" s="96" t="s">
        <v>45</v>
      </c>
      <c r="D781" s="102" t="s">
        <v>1641</v>
      </c>
      <c r="E781" s="55" t="s">
        <v>2939</v>
      </c>
      <c r="F781" s="54"/>
      <c r="G781" s="54" t="s">
        <v>2661</v>
      </c>
      <c r="H781" s="88" t="s">
        <v>2940</v>
      </c>
      <c r="I781" s="56">
        <v>49985.9</v>
      </c>
      <c r="J781" s="54" t="s">
        <v>1290</v>
      </c>
    </row>
    <row r="782" spans="1:10" ht="38.25" x14ac:dyDescent="0.2">
      <c r="A782" s="232"/>
      <c r="B782" s="54">
        <v>13</v>
      </c>
      <c r="C782" s="96" t="s">
        <v>2905</v>
      </c>
      <c r="D782" s="102" t="s">
        <v>1641</v>
      </c>
      <c r="E782" s="55">
        <v>208</v>
      </c>
      <c r="F782" s="54"/>
      <c r="G782" s="54" t="s">
        <v>2661</v>
      </c>
      <c r="H782" s="88" t="s">
        <v>2941</v>
      </c>
      <c r="I782" s="56">
        <v>272.48</v>
      </c>
      <c r="J782" s="54" t="s">
        <v>1290</v>
      </c>
    </row>
    <row r="783" spans="1:10" ht="76.5" x14ac:dyDescent="0.2">
      <c r="A783" s="232"/>
      <c r="B783" s="54">
        <v>14</v>
      </c>
      <c r="C783" s="96" t="s">
        <v>1728</v>
      </c>
      <c r="D783" s="102" t="s">
        <v>1641</v>
      </c>
      <c r="E783" s="55" t="s">
        <v>2942</v>
      </c>
      <c r="F783" s="54"/>
      <c r="G783" s="54" t="s">
        <v>2636</v>
      </c>
      <c r="H783" s="88" t="s">
        <v>2943</v>
      </c>
      <c r="I783" s="56">
        <v>334914.12</v>
      </c>
      <c r="J783" s="54" t="s">
        <v>1290</v>
      </c>
    </row>
    <row r="784" spans="1:10" ht="38.25" x14ac:dyDescent="0.2">
      <c r="A784" s="232"/>
      <c r="B784" s="54">
        <v>15</v>
      </c>
      <c r="C784" s="96" t="s">
        <v>53</v>
      </c>
      <c r="D784" s="102" t="s">
        <v>1692</v>
      </c>
      <c r="E784" s="55">
        <v>196</v>
      </c>
      <c r="F784" s="54"/>
      <c r="G784" s="54" t="s">
        <v>2654</v>
      </c>
      <c r="H784" s="88" t="s">
        <v>3206</v>
      </c>
      <c r="I784" s="56">
        <v>18506.25</v>
      </c>
      <c r="J784" s="54" t="s">
        <v>1290</v>
      </c>
    </row>
    <row r="785" spans="1:10" ht="38.25" x14ac:dyDescent="0.2">
      <c r="A785" s="232"/>
      <c r="B785" s="54">
        <v>16</v>
      </c>
      <c r="C785" s="96" t="s">
        <v>1728</v>
      </c>
      <c r="D785" s="102" t="s">
        <v>1692</v>
      </c>
      <c r="E785" s="55" t="s">
        <v>3207</v>
      </c>
      <c r="F785" s="54"/>
      <c r="G785" s="54" t="s">
        <v>2654</v>
      </c>
      <c r="H785" s="88" t="s">
        <v>3208</v>
      </c>
      <c r="I785" s="56">
        <v>102025.5</v>
      </c>
      <c r="J785" s="54" t="s">
        <v>1290</v>
      </c>
    </row>
    <row r="786" spans="1:10" ht="38.25" x14ac:dyDescent="0.2">
      <c r="A786" s="232"/>
      <c r="B786" s="54">
        <v>17</v>
      </c>
      <c r="C786" s="95" t="s">
        <v>2519</v>
      </c>
      <c r="D786" s="102" t="s">
        <v>1692</v>
      </c>
      <c r="E786" s="55" t="s">
        <v>3209</v>
      </c>
      <c r="F786" s="54"/>
      <c r="G786" s="54" t="s">
        <v>2654</v>
      </c>
      <c r="H786" s="88" t="s">
        <v>3210</v>
      </c>
      <c r="I786" s="56">
        <v>26013.91</v>
      </c>
      <c r="J786" s="54" t="s">
        <v>1290</v>
      </c>
    </row>
    <row r="787" spans="1:10" ht="38.25" x14ac:dyDescent="0.2">
      <c r="A787" s="232"/>
      <c r="B787" s="54">
        <v>18</v>
      </c>
      <c r="C787" s="96" t="s">
        <v>45</v>
      </c>
      <c r="D787" s="102" t="s">
        <v>1692</v>
      </c>
      <c r="E787" s="55" t="s">
        <v>2920</v>
      </c>
      <c r="F787" s="54"/>
      <c r="G787" s="54" t="s">
        <v>2654</v>
      </c>
      <c r="H787" s="88" t="s">
        <v>3211</v>
      </c>
      <c r="I787" s="56">
        <v>5274.57</v>
      </c>
      <c r="J787" s="54" t="s">
        <v>1290</v>
      </c>
    </row>
    <row r="788" spans="1:10" ht="38.25" x14ac:dyDescent="0.2">
      <c r="A788" s="232"/>
      <c r="B788" s="54">
        <v>19</v>
      </c>
      <c r="C788" s="96" t="s">
        <v>41</v>
      </c>
      <c r="D788" s="102" t="s">
        <v>1692</v>
      </c>
      <c r="E788" s="55">
        <v>190</v>
      </c>
      <c r="F788" s="54"/>
      <c r="G788" s="54" t="s">
        <v>2654</v>
      </c>
      <c r="H788" s="88" t="s">
        <v>3212</v>
      </c>
      <c r="I788" s="56">
        <v>271.95</v>
      </c>
      <c r="J788" s="54" t="s">
        <v>1290</v>
      </c>
    </row>
    <row r="789" spans="1:10" ht="38.25" x14ac:dyDescent="0.2">
      <c r="A789" s="232"/>
      <c r="B789" s="54">
        <v>20</v>
      </c>
      <c r="C789" s="96" t="s">
        <v>53</v>
      </c>
      <c r="D789" s="102" t="s">
        <v>2352</v>
      </c>
      <c r="E789" s="55">
        <v>196</v>
      </c>
      <c r="F789" s="54"/>
      <c r="G789" s="54" t="s">
        <v>2524</v>
      </c>
      <c r="H789" s="88" t="s">
        <v>2815</v>
      </c>
      <c r="I789" s="56">
        <v>9135</v>
      </c>
      <c r="J789" s="54" t="s">
        <v>1290</v>
      </c>
    </row>
    <row r="790" spans="1:10" ht="38.25" x14ac:dyDescent="0.2">
      <c r="A790" s="232"/>
      <c r="B790" s="54">
        <v>21</v>
      </c>
      <c r="C790" s="95" t="s">
        <v>2519</v>
      </c>
      <c r="D790" s="102" t="s">
        <v>2352</v>
      </c>
      <c r="E790" s="55" t="s">
        <v>3209</v>
      </c>
      <c r="F790" s="54"/>
      <c r="G790" s="54" t="s">
        <v>2524</v>
      </c>
      <c r="H790" s="88" t="s">
        <v>2815</v>
      </c>
      <c r="I790" s="56">
        <v>16250.13</v>
      </c>
      <c r="J790" s="54" t="s">
        <v>1290</v>
      </c>
    </row>
    <row r="791" spans="1:10" ht="38.25" x14ac:dyDescent="0.2">
      <c r="A791" s="232"/>
      <c r="B791" s="54">
        <v>22</v>
      </c>
      <c r="C791" s="96" t="s">
        <v>45</v>
      </c>
      <c r="D791" s="102" t="s">
        <v>2352</v>
      </c>
      <c r="E791" s="55" t="s">
        <v>2875</v>
      </c>
      <c r="F791" s="54"/>
      <c r="G791" s="54" t="s">
        <v>2524</v>
      </c>
      <c r="H791" s="88" t="s">
        <v>2815</v>
      </c>
      <c r="I791" s="56">
        <v>1892.11</v>
      </c>
      <c r="J791" s="54" t="s">
        <v>1290</v>
      </c>
    </row>
    <row r="792" spans="1:10" ht="38.25" x14ac:dyDescent="0.2">
      <c r="A792" s="232"/>
      <c r="B792" s="54">
        <v>23</v>
      </c>
      <c r="C792" s="96" t="s">
        <v>53</v>
      </c>
      <c r="D792" s="170" t="s">
        <v>1656</v>
      </c>
      <c r="E792" s="55">
        <v>196</v>
      </c>
      <c r="F792" s="54"/>
      <c r="G792" s="54" t="s">
        <v>2654</v>
      </c>
      <c r="H792" s="88" t="s">
        <v>3206</v>
      </c>
      <c r="I792" s="56">
        <v>25987.5</v>
      </c>
      <c r="J792" s="54" t="s">
        <v>1290</v>
      </c>
    </row>
    <row r="793" spans="1:10" ht="38.25" x14ac:dyDescent="0.2">
      <c r="A793" s="232"/>
      <c r="B793" s="54">
        <v>24</v>
      </c>
      <c r="C793" s="96" t="s">
        <v>1728</v>
      </c>
      <c r="D793" s="170" t="s">
        <v>1656</v>
      </c>
      <c r="E793" s="55" t="s">
        <v>3402</v>
      </c>
      <c r="F793" s="54"/>
      <c r="G793" s="54" t="s">
        <v>2654</v>
      </c>
      <c r="H793" s="88" t="s">
        <v>3208</v>
      </c>
      <c r="I793" s="56">
        <v>148318.39000000001</v>
      </c>
      <c r="J793" s="54" t="s">
        <v>1290</v>
      </c>
    </row>
    <row r="794" spans="1:10" ht="38.25" x14ac:dyDescent="0.2">
      <c r="A794" s="232"/>
      <c r="B794" s="54">
        <v>25</v>
      </c>
      <c r="C794" s="96" t="s">
        <v>45</v>
      </c>
      <c r="D794" s="170" t="s">
        <v>1656</v>
      </c>
      <c r="E794" s="55">
        <v>191</v>
      </c>
      <c r="F794" s="54"/>
      <c r="G794" s="54" t="s">
        <v>2654</v>
      </c>
      <c r="H794" s="88" t="s">
        <v>3211</v>
      </c>
      <c r="I794" s="56">
        <v>1968.75</v>
      </c>
      <c r="J794" s="54" t="s">
        <v>1290</v>
      </c>
    </row>
    <row r="795" spans="1:10" ht="38.25" x14ac:dyDescent="0.2">
      <c r="A795" s="232"/>
      <c r="B795" s="54">
        <v>26</v>
      </c>
      <c r="C795" s="96" t="s">
        <v>148</v>
      </c>
      <c r="D795" s="170" t="s">
        <v>1656</v>
      </c>
      <c r="E795" s="55">
        <v>203</v>
      </c>
      <c r="F795" s="54"/>
      <c r="G795" s="54" t="s">
        <v>2654</v>
      </c>
      <c r="H795" s="88" t="s">
        <v>2923</v>
      </c>
      <c r="I795" s="56">
        <v>205.8</v>
      </c>
      <c r="J795" s="54" t="s">
        <v>1290</v>
      </c>
    </row>
    <row r="796" spans="1:10" ht="38.25" x14ac:dyDescent="0.2">
      <c r="A796" s="232"/>
      <c r="B796" s="54">
        <v>27</v>
      </c>
      <c r="C796" s="95" t="s">
        <v>2519</v>
      </c>
      <c r="D796" s="170" t="s">
        <v>1656</v>
      </c>
      <c r="E796" s="55" t="s">
        <v>3209</v>
      </c>
      <c r="F796" s="54"/>
      <c r="G796" s="54" t="s">
        <v>2654</v>
      </c>
      <c r="H796" s="88" t="s">
        <v>3210</v>
      </c>
      <c r="I796" s="56">
        <v>33169.58</v>
      </c>
      <c r="J796" s="54" t="s">
        <v>1290</v>
      </c>
    </row>
    <row r="797" spans="1:10" ht="38.25" x14ac:dyDescent="0.2">
      <c r="A797" s="232"/>
      <c r="B797" s="54">
        <v>28</v>
      </c>
      <c r="C797" s="96" t="s">
        <v>53</v>
      </c>
      <c r="D797" s="170" t="s">
        <v>1641</v>
      </c>
      <c r="E797" s="55">
        <v>196</v>
      </c>
      <c r="F797" s="54"/>
      <c r="G797" s="54" t="s">
        <v>2661</v>
      </c>
      <c r="H797" s="88" t="s">
        <v>3429</v>
      </c>
      <c r="I797" s="56">
        <v>35240.629999999997</v>
      </c>
      <c r="J797" s="54" t="s">
        <v>1290</v>
      </c>
    </row>
    <row r="798" spans="1:10" ht="38.25" x14ac:dyDescent="0.2">
      <c r="A798" s="232"/>
      <c r="B798" s="54">
        <v>29</v>
      </c>
      <c r="C798" s="95" t="s">
        <v>2519</v>
      </c>
      <c r="D798" s="170" t="s">
        <v>2560</v>
      </c>
      <c r="E798" s="55" t="s">
        <v>3430</v>
      </c>
      <c r="F798" s="54"/>
      <c r="G798" s="54" t="s">
        <v>2858</v>
      </c>
      <c r="H798" s="88" t="s">
        <v>3431</v>
      </c>
      <c r="I798" s="56">
        <f>2852.64+138.18+70.56+1031.94+2822.4+28937.03+760.03+8551.15</f>
        <v>45163.93</v>
      </c>
      <c r="J798" s="54" t="s">
        <v>1290</v>
      </c>
    </row>
    <row r="799" spans="1:10" ht="63.75" x14ac:dyDescent="0.2">
      <c r="A799" s="232"/>
      <c r="B799" s="54">
        <v>30</v>
      </c>
      <c r="C799" s="95" t="s">
        <v>2519</v>
      </c>
      <c r="D799" s="170" t="s">
        <v>1641</v>
      </c>
      <c r="E799" s="55" t="s">
        <v>3209</v>
      </c>
      <c r="F799" s="54"/>
      <c r="G799" s="54" t="s">
        <v>2661</v>
      </c>
      <c r="H799" s="88" t="s">
        <v>3432</v>
      </c>
      <c r="I799" s="56">
        <v>54212.45</v>
      </c>
      <c r="J799" s="54" t="s">
        <v>1290</v>
      </c>
    </row>
    <row r="800" spans="1:10" ht="38.25" x14ac:dyDescent="0.2">
      <c r="A800" s="232"/>
      <c r="B800" s="54">
        <v>31</v>
      </c>
      <c r="C800" s="96" t="s">
        <v>53</v>
      </c>
      <c r="D800" s="170" t="s">
        <v>2154</v>
      </c>
      <c r="E800" s="55">
        <v>196</v>
      </c>
      <c r="F800" s="54"/>
      <c r="G800" s="54" t="s">
        <v>2825</v>
      </c>
      <c r="H800" s="88" t="s">
        <v>3480</v>
      </c>
      <c r="I800" s="56">
        <f>15225*1.05</f>
        <v>15986.25</v>
      </c>
      <c r="J800" s="54" t="s">
        <v>1290</v>
      </c>
    </row>
    <row r="801" spans="1:10" ht="38.25" x14ac:dyDescent="0.2">
      <c r="A801" s="232"/>
      <c r="B801" s="54">
        <v>32</v>
      </c>
      <c r="C801" s="96" t="s">
        <v>45</v>
      </c>
      <c r="D801" s="170" t="s">
        <v>2154</v>
      </c>
      <c r="E801" s="55" t="s">
        <v>3481</v>
      </c>
      <c r="F801" s="54"/>
      <c r="G801" s="54" t="s">
        <v>2794</v>
      </c>
      <c r="H801" s="88" t="s">
        <v>3482</v>
      </c>
      <c r="I801" s="56">
        <f>(1200+10263.5+63886.2)*1.05</f>
        <v>79117.184999999998</v>
      </c>
      <c r="J801" s="54" t="s">
        <v>1290</v>
      </c>
    </row>
    <row r="802" spans="1:10" ht="38.25" x14ac:dyDescent="0.2">
      <c r="A802" s="232"/>
      <c r="B802" s="54">
        <v>33</v>
      </c>
      <c r="C802" s="96" t="s">
        <v>1728</v>
      </c>
      <c r="D802" s="170" t="s">
        <v>2154</v>
      </c>
      <c r="E802" s="55" t="s">
        <v>3483</v>
      </c>
      <c r="F802" s="54"/>
      <c r="G802" s="54" t="s">
        <v>3484</v>
      </c>
      <c r="H802" s="88" t="s">
        <v>3485</v>
      </c>
      <c r="I802" s="56">
        <f>(19507.95+739.2+15480+1560+10032+18902.4+24990+538+387.6+29371.2+9510+48648.6+53955+20651.4+89.46+33088.8+27142)*1.05</f>
        <v>330323.2905</v>
      </c>
      <c r="J802" s="54" t="s">
        <v>1290</v>
      </c>
    </row>
    <row r="803" spans="1:10" ht="38.25" x14ac:dyDescent="0.2">
      <c r="A803" s="232"/>
      <c r="B803" s="54">
        <v>34</v>
      </c>
      <c r="C803" s="96" t="s">
        <v>41</v>
      </c>
      <c r="D803" s="170" t="s">
        <v>2154</v>
      </c>
      <c r="E803" s="55">
        <v>190</v>
      </c>
      <c r="F803" s="54"/>
      <c r="G803" s="54" t="s">
        <v>3279</v>
      </c>
      <c r="H803" s="88" t="s">
        <v>3486</v>
      </c>
      <c r="I803" s="56">
        <f>488.4*1.05</f>
        <v>512.82000000000005</v>
      </c>
      <c r="J803" s="54" t="s">
        <v>1290</v>
      </c>
    </row>
    <row r="804" spans="1:10" ht="38.25" x14ac:dyDescent="0.2">
      <c r="A804" s="232"/>
      <c r="B804" s="54">
        <v>35</v>
      </c>
      <c r="C804" s="96" t="s">
        <v>1728</v>
      </c>
      <c r="D804" s="170" t="s">
        <v>2560</v>
      </c>
      <c r="E804" s="55" t="s">
        <v>3487</v>
      </c>
      <c r="F804" s="54"/>
      <c r="G804" s="54" t="s">
        <v>3484</v>
      </c>
      <c r="H804" s="88" t="s">
        <v>3485</v>
      </c>
      <c r="I804" s="56">
        <v>124567.25</v>
      </c>
      <c r="J804" s="54" t="s">
        <v>1290</v>
      </c>
    </row>
    <row r="805" spans="1:10" ht="38.25" x14ac:dyDescent="0.2">
      <c r="A805" s="232"/>
      <c r="B805" s="54">
        <v>36</v>
      </c>
      <c r="C805" s="96" t="s">
        <v>148</v>
      </c>
      <c r="D805" s="170" t="s">
        <v>2554</v>
      </c>
      <c r="E805" s="55">
        <v>203</v>
      </c>
      <c r="F805" s="54"/>
      <c r="G805" s="54" t="s">
        <v>2958</v>
      </c>
      <c r="H805" s="88" t="s">
        <v>3488</v>
      </c>
      <c r="I805" s="56">
        <v>823.2</v>
      </c>
      <c r="J805" s="54" t="s">
        <v>1290</v>
      </c>
    </row>
    <row r="806" spans="1:10" ht="38.25" x14ac:dyDescent="0.2">
      <c r="A806" s="232"/>
      <c r="B806" s="54">
        <v>37</v>
      </c>
      <c r="C806" s="96" t="s">
        <v>45</v>
      </c>
      <c r="D806" s="170" t="s">
        <v>2554</v>
      </c>
      <c r="E806" s="55" t="s">
        <v>3481</v>
      </c>
      <c r="F806" s="54"/>
      <c r="G806" s="54" t="s">
        <v>2825</v>
      </c>
      <c r="H806" s="88" t="s">
        <v>3489</v>
      </c>
      <c r="I806" s="56">
        <v>35167.86</v>
      </c>
      <c r="J806" s="54" t="s">
        <v>1290</v>
      </c>
    </row>
    <row r="807" spans="1:10" ht="38.25" x14ac:dyDescent="0.2">
      <c r="A807" s="232"/>
      <c r="B807" s="54">
        <v>38</v>
      </c>
      <c r="C807" s="96" t="s">
        <v>1728</v>
      </c>
      <c r="D807" s="170" t="s">
        <v>2554</v>
      </c>
      <c r="E807" s="55" t="s">
        <v>3490</v>
      </c>
      <c r="F807" s="54"/>
      <c r="G807" s="54" t="s">
        <v>2794</v>
      </c>
      <c r="H807" s="88" t="s">
        <v>3491</v>
      </c>
      <c r="I807" s="56">
        <v>431407.1</v>
      </c>
      <c r="J807" s="54" t="s">
        <v>1290</v>
      </c>
    </row>
    <row r="808" spans="1:10" ht="38.25" x14ac:dyDescent="0.2">
      <c r="A808" s="232"/>
      <c r="B808" s="54">
        <v>39</v>
      </c>
      <c r="C808" s="96" t="s">
        <v>53</v>
      </c>
      <c r="D808" s="170" t="s">
        <v>2554</v>
      </c>
      <c r="E808" s="55">
        <v>196</v>
      </c>
      <c r="F808" s="54"/>
      <c r="G808" s="54" t="s">
        <v>2958</v>
      </c>
      <c r="H808" s="88" t="s">
        <v>3492</v>
      </c>
      <c r="I808" s="56">
        <v>126393.75</v>
      </c>
      <c r="J808" s="54" t="s">
        <v>1290</v>
      </c>
    </row>
    <row r="809" spans="1:10" ht="38.25" x14ac:dyDescent="0.2">
      <c r="A809" s="232"/>
      <c r="B809" s="54">
        <v>40</v>
      </c>
      <c r="C809" s="95" t="s">
        <v>2519</v>
      </c>
      <c r="D809" s="170" t="s">
        <v>2554</v>
      </c>
      <c r="E809" s="55" t="s">
        <v>3209</v>
      </c>
      <c r="F809" s="54"/>
      <c r="G809" s="54" t="s">
        <v>2958</v>
      </c>
      <c r="H809" s="88" t="s">
        <v>3493</v>
      </c>
      <c r="I809" s="56">
        <v>92433.08</v>
      </c>
      <c r="J809" s="54" t="s">
        <v>1290</v>
      </c>
    </row>
    <row r="810" spans="1:10" ht="38.25" x14ac:dyDescent="0.2">
      <c r="A810" s="232"/>
      <c r="B810" s="54">
        <v>41</v>
      </c>
      <c r="C810" s="96" t="s">
        <v>148</v>
      </c>
      <c r="D810" s="170" t="s">
        <v>2383</v>
      </c>
      <c r="E810" s="55">
        <v>203</v>
      </c>
      <c r="F810" s="54"/>
      <c r="G810" s="54" t="s">
        <v>2879</v>
      </c>
      <c r="H810" s="88" t="s">
        <v>3726</v>
      </c>
      <c r="I810" s="56">
        <v>205.8</v>
      </c>
      <c r="J810" s="54" t="s">
        <v>1290</v>
      </c>
    </row>
    <row r="811" spans="1:10" ht="38.25" x14ac:dyDescent="0.2">
      <c r="A811" s="232"/>
      <c r="B811" s="54">
        <v>42</v>
      </c>
      <c r="C811" s="96" t="s">
        <v>45</v>
      </c>
      <c r="D811" s="170" t="s">
        <v>2383</v>
      </c>
      <c r="E811" s="55">
        <v>191</v>
      </c>
      <c r="F811" s="54"/>
      <c r="G811" s="54" t="s">
        <v>2825</v>
      </c>
      <c r="H811" s="88" t="s">
        <v>3489</v>
      </c>
      <c r="I811" s="56">
        <v>1338.75</v>
      </c>
      <c r="J811" s="54" t="s">
        <v>1290</v>
      </c>
    </row>
    <row r="812" spans="1:10" ht="38.25" x14ac:dyDescent="0.2">
      <c r="A812" s="232"/>
      <c r="B812" s="54">
        <v>43</v>
      </c>
      <c r="C812" s="95" t="s">
        <v>2519</v>
      </c>
      <c r="D812" s="170" t="s">
        <v>2383</v>
      </c>
      <c r="E812" s="55" t="s">
        <v>3727</v>
      </c>
      <c r="F812" s="54"/>
      <c r="G812" s="54" t="s">
        <v>2956</v>
      </c>
      <c r="H812" s="88" t="s">
        <v>3728</v>
      </c>
      <c r="I812" s="56">
        <v>6027.34</v>
      </c>
      <c r="J812" s="54" t="s">
        <v>1290</v>
      </c>
    </row>
    <row r="813" spans="1:10" ht="38.25" x14ac:dyDescent="0.2">
      <c r="A813" s="232"/>
      <c r="B813" s="54">
        <v>44</v>
      </c>
      <c r="C813" s="96" t="s">
        <v>1728</v>
      </c>
      <c r="D813" s="170" t="s">
        <v>2383</v>
      </c>
      <c r="E813" s="55" t="s">
        <v>3729</v>
      </c>
      <c r="F813" s="54"/>
      <c r="G813" s="54" t="s">
        <v>2879</v>
      </c>
      <c r="H813" s="88" t="s">
        <v>3730</v>
      </c>
      <c r="I813" s="56">
        <v>175414.65</v>
      </c>
      <c r="J813" s="54" t="s">
        <v>1290</v>
      </c>
    </row>
    <row r="814" spans="1:10" ht="38.25" x14ac:dyDescent="0.2">
      <c r="A814" s="232"/>
      <c r="B814" s="54">
        <v>45</v>
      </c>
      <c r="C814" s="96" t="s">
        <v>53</v>
      </c>
      <c r="D814" s="170" t="s">
        <v>2383</v>
      </c>
      <c r="E814" s="55">
        <v>196</v>
      </c>
      <c r="F814" s="54"/>
      <c r="G814" s="54" t="s">
        <v>3199</v>
      </c>
      <c r="H814" s="88" t="s">
        <v>3731</v>
      </c>
      <c r="I814" s="56">
        <v>4095</v>
      </c>
      <c r="J814" s="54" t="s">
        <v>1290</v>
      </c>
    </row>
    <row r="815" spans="1:10" ht="38.25" x14ac:dyDescent="0.2">
      <c r="A815" s="232"/>
      <c r="B815" s="54">
        <v>46</v>
      </c>
      <c r="C815" s="95" t="s">
        <v>2519</v>
      </c>
      <c r="D815" s="170" t="s">
        <v>2142</v>
      </c>
      <c r="E815" s="55" t="s">
        <v>3209</v>
      </c>
      <c r="F815" s="54"/>
      <c r="G815" s="54" t="s">
        <v>2578</v>
      </c>
      <c r="H815" s="88" t="s">
        <v>3767</v>
      </c>
      <c r="I815" s="56">
        <v>37280.25</v>
      </c>
      <c r="J815" s="54" t="s">
        <v>1290</v>
      </c>
    </row>
    <row r="816" spans="1:10" ht="38.25" x14ac:dyDescent="0.2">
      <c r="A816" s="232"/>
      <c r="B816" s="54">
        <v>47</v>
      </c>
      <c r="C816" s="96" t="s">
        <v>41</v>
      </c>
      <c r="D816" s="170" t="s">
        <v>2142</v>
      </c>
      <c r="E816" s="55">
        <v>190</v>
      </c>
      <c r="F816" s="54"/>
      <c r="G816" s="54" t="s">
        <v>2578</v>
      </c>
      <c r="H816" s="88" t="s">
        <v>3768</v>
      </c>
      <c r="I816" s="56">
        <v>310.8</v>
      </c>
      <c r="J816" s="54" t="s">
        <v>1290</v>
      </c>
    </row>
    <row r="817" spans="1:10" ht="38.25" x14ac:dyDescent="0.2">
      <c r="A817" s="232"/>
      <c r="B817" s="54">
        <v>48</v>
      </c>
      <c r="C817" s="96" t="s">
        <v>1728</v>
      </c>
      <c r="D817" s="170" t="s">
        <v>2142</v>
      </c>
      <c r="E817" s="55" t="s">
        <v>3769</v>
      </c>
      <c r="F817" s="54"/>
      <c r="G817" s="54" t="s">
        <v>2578</v>
      </c>
      <c r="H817" s="88" t="s">
        <v>3770</v>
      </c>
      <c r="I817" s="56">
        <v>130104.56</v>
      </c>
      <c r="J817" s="54" t="s">
        <v>1290</v>
      </c>
    </row>
    <row r="818" spans="1:10" ht="38.25" x14ac:dyDescent="0.2">
      <c r="A818" s="232"/>
      <c r="B818" s="54">
        <v>49</v>
      </c>
      <c r="C818" s="96" t="s">
        <v>45</v>
      </c>
      <c r="D818" s="170" t="s">
        <v>2142</v>
      </c>
      <c r="E818" s="55" t="s">
        <v>2875</v>
      </c>
      <c r="F818" s="54"/>
      <c r="G818" s="54" t="s">
        <v>2578</v>
      </c>
      <c r="H818" s="88" t="s">
        <v>3771</v>
      </c>
      <c r="I818" s="56">
        <v>4020.45</v>
      </c>
      <c r="J818" s="54" t="s">
        <v>1290</v>
      </c>
    </row>
    <row r="819" spans="1:10" ht="38.25" x14ac:dyDescent="0.2">
      <c r="A819" s="232"/>
      <c r="B819" s="54">
        <v>50</v>
      </c>
      <c r="C819" s="96" t="s">
        <v>53</v>
      </c>
      <c r="D819" s="102" t="s">
        <v>1731</v>
      </c>
      <c r="E819" s="55"/>
      <c r="F819" s="54"/>
      <c r="G819" s="54" t="s">
        <v>3647</v>
      </c>
      <c r="H819" s="88" t="s">
        <v>3774</v>
      </c>
      <c r="I819" s="56">
        <f>7.5*1.05</f>
        <v>7.875</v>
      </c>
      <c r="J819" s="54" t="s">
        <v>1290</v>
      </c>
    </row>
    <row r="820" spans="1:10" ht="38.25" x14ac:dyDescent="0.2">
      <c r="A820" s="232"/>
      <c r="B820" s="54">
        <v>51</v>
      </c>
      <c r="C820" s="96" t="s">
        <v>53</v>
      </c>
      <c r="D820" s="102" t="s">
        <v>1625</v>
      </c>
      <c r="E820" s="55">
        <v>196</v>
      </c>
      <c r="F820" s="54"/>
      <c r="G820" s="54" t="s">
        <v>3781</v>
      </c>
      <c r="H820" s="88" t="s">
        <v>3782</v>
      </c>
      <c r="I820" s="56">
        <v>160650</v>
      </c>
      <c r="J820" s="54" t="s">
        <v>1290</v>
      </c>
    </row>
    <row r="821" spans="1:10" ht="38.25" x14ac:dyDescent="0.2">
      <c r="A821" s="232"/>
      <c r="B821" s="54">
        <v>52</v>
      </c>
      <c r="C821" s="96" t="s">
        <v>148</v>
      </c>
      <c r="D821" s="102" t="s">
        <v>1625</v>
      </c>
      <c r="E821" s="55">
        <v>203</v>
      </c>
      <c r="F821" s="54"/>
      <c r="G821" s="54" t="s">
        <v>3722</v>
      </c>
      <c r="H821" s="88" t="s">
        <v>3783</v>
      </c>
      <c r="I821" s="56">
        <v>1102.5</v>
      </c>
      <c r="J821" s="54" t="s">
        <v>1290</v>
      </c>
    </row>
    <row r="822" spans="1:10" ht="38.25" x14ac:dyDescent="0.2">
      <c r="A822" s="232"/>
      <c r="B822" s="54">
        <v>53</v>
      </c>
      <c r="C822" s="95" t="s">
        <v>2519</v>
      </c>
      <c r="D822" s="102" t="s">
        <v>2154</v>
      </c>
      <c r="E822" s="55" t="s">
        <v>2918</v>
      </c>
      <c r="F822" s="54"/>
      <c r="G822" s="54" t="s">
        <v>2823</v>
      </c>
      <c r="H822" s="88" t="s">
        <v>3784</v>
      </c>
      <c r="I822" s="56">
        <f>21123.95*1.05</f>
        <v>22180.147500000003</v>
      </c>
      <c r="J822" s="54" t="s">
        <v>1290</v>
      </c>
    </row>
    <row r="823" spans="1:10" ht="38.25" x14ac:dyDescent="0.2">
      <c r="A823" s="232"/>
      <c r="B823" s="54">
        <v>54</v>
      </c>
      <c r="C823" s="96" t="s">
        <v>41</v>
      </c>
      <c r="D823" s="102" t="s">
        <v>1625</v>
      </c>
      <c r="E823" s="55">
        <v>190</v>
      </c>
      <c r="F823" s="54"/>
      <c r="G823" s="54" t="s">
        <v>3694</v>
      </c>
      <c r="H823" s="88" t="s">
        <v>3785</v>
      </c>
      <c r="I823" s="56">
        <v>264.18</v>
      </c>
      <c r="J823" s="54" t="s">
        <v>1290</v>
      </c>
    </row>
    <row r="824" spans="1:10" ht="38.25" x14ac:dyDescent="0.2">
      <c r="A824" s="232"/>
      <c r="B824" s="54">
        <v>55</v>
      </c>
      <c r="C824" s="96" t="s">
        <v>1728</v>
      </c>
      <c r="D824" s="102" t="s">
        <v>1625</v>
      </c>
      <c r="E824" s="55" t="s">
        <v>3483</v>
      </c>
      <c r="F824" s="54"/>
      <c r="G824" s="54" t="s">
        <v>3786</v>
      </c>
      <c r="H824" s="88" t="s">
        <v>3787</v>
      </c>
      <c r="I824" s="56">
        <f>117047.7+52390.8+396922.68+3360+4382.07+41025.6+43696.8+38130.75+10413.9+12406.8+14645.4+112653.45+37768.5+20651.4+369.02+95461.28+14775.08</f>
        <v>1016101.23</v>
      </c>
      <c r="J824" s="54" t="s">
        <v>1290</v>
      </c>
    </row>
    <row r="825" spans="1:10" ht="38.25" x14ac:dyDescent="0.2">
      <c r="A825" s="232"/>
      <c r="B825" s="54">
        <v>56</v>
      </c>
      <c r="C825" s="95" t="s">
        <v>2519</v>
      </c>
      <c r="D825" s="102" t="s">
        <v>1625</v>
      </c>
      <c r="E825" s="55" t="s">
        <v>3209</v>
      </c>
      <c r="F825" s="54"/>
      <c r="G825" s="54" t="s">
        <v>3694</v>
      </c>
      <c r="H825" s="88" t="s">
        <v>3788</v>
      </c>
      <c r="I825" s="56">
        <f>2063.25+4873.26+9870+352.8+3118.5+1323+39125.84+1677.31+42250.32+6017.66+65231.19</f>
        <v>175903.13</v>
      </c>
      <c r="J825" s="54" t="s">
        <v>1290</v>
      </c>
    </row>
    <row r="826" spans="1:10" ht="38.25" x14ac:dyDescent="0.2">
      <c r="A826" s="232"/>
      <c r="B826" s="54">
        <v>57</v>
      </c>
      <c r="C826" s="96" t="s">
        <v>45</v>
      </c>
      <c r="D826" s="102" t="s">
        <v>1625</v>
      </c>
      <c r="E826" s="55" t="s">
        <v>2939</v>
      </c>
      <c r="F826" s="54"/>
      <c r="G826" s="54" t="s">
        <v>3248</v>
      </c>
      <c r="H826" s="88" t="s">
        <v>3789</v>
      </c>
      <c r="I826" s="56">
        <f>12789+4973.85+640.33+38175.9</f>
        <v>56579.08</v>
      </c>
      <c r="J826" s="54" t="s">
        <v>1290</v>
      </c>
    </row>
    <row r="827" spans="1:10" ht="38.25" x14ac:dyDescent="0.2">
      <c r="A827" s="232"/>
      <c r="B827" s="54">
        <v>58</v>
      </c>
      <c r="C827" s="96" t="s">
        <v>45</v>
      </c>
      <c r="D827" s="102" t="s">
        <v>2259</v>
      </c>
      <c r="E827" s="55" t="s">
        <v>2939</v>
      </c>
      <c r="F827" s="54"/>
      <c r="G827" s="54" t="s">
        <v>3327</v>
      </c>
      <c r="H827" s="88" t="s">
        <v>3834</v>
      </c>
      <c r="I827" s="56">
        <v>1575</v>
      </c>
      <c r="J827" s="54" t="s">
        <v>1290</v>
      </c>
    </row>
    <row r="828" spans="1:10" ht="38.25" x14ac:dyDescent="0.2">
      <c r="A828" s="232"/>
      <c r="B828" s="54">
        <v>59</v>
      </c>
      <c r="C828" s="95" t="s">
        <v>2519</v>
      </c>
      <c r="D828" s="102" t="s">
        <v>2259</v>
      </c>
      <c r="E828" s="55" t="s">
        <v>3209</v>
      </c>
      <c r="F828" s="54"/>
      <c r="G828" s="54" t="s">
        <v>2578</v>
      </c>
      <c r="H828" s="88" t="s">
        <v>3767</v>
      </c>
      <c r="I828" s="56">
        <v>8585.85</v>
      </c>
      <c r="J828" s="54" t="s">
        <v>1290</v>
      </c>
    </row>
    <row r="829" spans="1:10" ht="38.25" x14ac:dyDescent="0.2">
      <c r="A829" s="232"/>
      <c r="B829" s="54">
        <v>60</v>
      </c>
      <c r="C829" s="96" t="s">
        <v>53</v>
      </c>
      <c r="D829" s="102" t="s">
        <v>2259</v>
      </c>
      <c r="E829" s="55">
        <v>196</v>
      </c>
      <c r="F829" s="54"/>
      <c r="G829" s="54" t="s">
        <v>2794</v>
      </c>
      <c r="H829" s="88" t="s">
        <v>3835</v>
      </c>
      <c r="I829" s="56">
        <v>11812.5</v>
      </c>
      <c r="J829" s="54" t="s">
        <v>1290</v>
      </c>
    </row>
    <row r="830" spans="1:10" ht="38.25" x14ac:dyDescent="0.2">
      <c r="A830" s="232"/>
      <c r="B830" s="54">
        <v>61</v>
      </c>
      <c r="C830" s="96" t="s">
        <v>1728</v>
      </c>
      <c r="D830" s="102" t="s">
        <v>1769</v>
      </c>
      <c r="E830" s="55" t="s">
        <v>3852</v>
      </c>
      <c r="F830" s="54"/>
      <c r="G830" s="54" t="s">
        <v>3327</v>
      </c>
      <c r="H830" s="88" t="s">
        <v>3853</v>
      </c>
      <c r="I830" s="56">
        <v>415218.59</v>
      </c>
      <c r="J830" s="54" t="s">
        <v>1290</v>
      </c>
    </row>
    <row r="831" spans="1:10" ht="38.25" x14ac:dyDescent="0.2">
      <c r="A831" s="232"/>
      <c r="B831" s="54">
        <v>62</v>
      </c>
      <c r="C831" s="96" t="s">
        <v>45</v>
      </c>
      <c r="D831" s="102" t="s">
        <v>1769</v>
      </c>
      <c r="E831" s="55" t="s">
        <v>2875</v>
      </c>
      <c r="F831" s="54"/>
      <c r="G831" s="54" t="s">
        <v>3327</v>
      </c>
      <c r="H831" s="88" t="s">
        <v>3834</v>
      </c>
      <c r="I831" s="56">
        <v>21151.73</v>
      </c>
      <c r="J831" s="54" t="s">
        <v>1290</v>
      </c>
    </row>
    <row r="832" spans="1:10" ht="38.25" x14ac:dyDescent="0.2">
      <c r="A832" s="232"/>
      <c r="B832" s="54">
        <v>63</v>
      </c>
      <c r="C832" s="96" t="s">
        <v>53</v>
      </c>
      <c r="D832" s="102" t="s">
        <v>1769</v>
      </c>
      <c r="E832" s="55">
        <v>196</v>
      </c>
      <c r="F832" s="54"/>
      <c r="G832" s="54" t="s">
        <v>3327</v>
      </c>
      <c r="H832" s="88" t="s">
        <v>3854</v>
      </c>
      <c r="I832" s="56">
        <v>72095.63</v>
      </c>
      <c r="J832" s="54" t="s">
        <v>1290</v>
      </c>
    </row>
    <row r="833" spans="1:10" ht="38.25" x14ac:dyDescent="0.2">
      <c r="A833" s="232"/>
      <c r="B833" s="54">
        <v>64</v>
      </c>
      <c r="C833" s="95" t="s">
        <v>2519</v>
      </c>
      <c r="D833" s="102" t="s">
        <v>1769</v>
      </c>
      <c r="E833" s="55" t="s">
        <v>3855</v>
      </c>
      <c r="F833" s="54"/>
      <c r="G833" s="54" t="s">
        <v>2823</v>
      </c>
      <c r="H833" s="88" t="s">
        <v>3784</v>
      </c>
      <c r="I833" s="56">
        <v>53546.47</v>
      </c>
      <c r="J833" s="54" t="s">
        <v>1290</v>
      </c>
    </row>
    <row r="834" spans="1:10" ht="38.25" x14ac:dyDescent="0.2">
      <c r="A834" s="232"/>
      <c r="B834" s="54">
        <v>65</v>
      </c>
      <c r="C834" s="96" t="s">
        <v>1728</v>
      </c>
      <c r="D834" s="102" t="s">
        <v>1731</v>
      </c>
      <c r="E834" s="55"/>
      <c r="F834" s="54"/>
      <c r="G834" s="54" t="s">
        <v>3647</v>
      </c>
      <c r="H834" s="88" t="s">
        <v>3774</v>
      </c>
      <c r="I834" s="56">
        <f>7840.67*1.05</f>
        <v>8232.7034999999996</v>
      </c>
      <c r="J834" s="54" t="s">
        <v>1290</v>
      </c>
    </row>
    <row r="835" spans="1:10" ht="38.25" x14ac:dyDescent="0.2">
      <c r="A835" s="232"/>
      <c r="B835" s="54">
        <v>66</v>
      </c>
      <c r="C835" s="96" t="s">
        <v>45</v>
      </c>
      <c r="D835" s="102" t="s">
        <v>1731</v>
      </c>
      <c r="E835" s="55"/>
      <c r="F835" s="54"/>
      <c r="G835" s="54" t="s">
        <v>3647</v>
      </c>
      <c r="H835" s="88" t="s">
        <v>3774</v>
      </c>
      <c r="I835" s="56">
        <f>217.5*1.05</f>
        <v>228.375</v>
      </c>
      <c r="J835" s="54" t="s">
        <v>1290</v>
      </c>
    </row>
    <row r="836" spans="1:10" ht="38.25" x14ac:dyDescent="0.2">
      <c r="A836" s="232"/>
      <c r="B836" s="54">
        <v>67</v>
      </c>
      <c r="C836" s="95" t="s">
        <v>2519</v>
      </c>
      <c r="D836" s="102" t="s">
        <v>1644</v>
      </c>
      <c r="E836" s="55" t="s">
        <v>3209</v>
      </c>
      <c r="F836" s="54"/>
      <c r="G836" s="54" t="s">
        <v>2825</v>
      </c>
      <c r="H836" s="88" t="s">
        <v>3935</v>
      </c>
      <c r="I836" s="56">
        <v>77866.740000000005</v>
      </c>
      <c r="J836" s="54" t="s">
        <v>1290</v>
      </c>
    </row>
    <row r="837" spans="1:10" ht="38.25" x14ac:dyDescent="0.2">
      <c r="A837" s="232"/>
      <c r="B837" s="54">
        <v>68</v>
      </c>
      <c r="C837" s="96" t="s">
        <v>1728</v>
      </c>
      <c r="D837" s="102" t="s">
        <v>1644</v>
      </c>
      <c r="E837" s="55" t="s">
        <v>3936</v>
      </c>
      <c r="F837" s="54"/>
      <c r="G837" s="54" t="s">
        <v>2524</v>
      </c>
      <c r="H837" s="88" t="s">
        <v>3937</v>
      </c>
      <c r="I837" s="56">
        <v>229799.96</v>
      </c>
      <c r="J837" s="54" t="s">
        <v>1290</v>
      </c>
    </row>
    <row r="838" spans="1:10" ht="38.25" x14ac:dyDescent="0.2">
      <c r="A838" s="232"/>
      <c r="B838" s="54">
        <v>69</v>
      </c>
      <c r="C838" s="96" t="s">
        <v>41</v>
      </c>
      <c r="D838" s="102" t="s">
        <v>1644</v>
      </c>
      <c r="E838" s="55">
        <v>190</v>
      </c>
      <c r="F838" s="54"/>
      <c r="G838" s="54" t="s">
        <v>2956</v>
      </c>
      <c r="H838" s="88" t="s">
        <v>3938</v>
      </c>
      <c r="I838" s="56">
        <v>147.6</v>
      </c>
      <c r="J838" s="54" t="s">
        <v>1290</v>
      </c>
    </row>
    <row r="839" spans="1:10" ht="38.25" x14ac:dyDescent="0.2">
      <c r="A839" s="232"/>
      <c r="B839" s="54">
        <v>70</v>
      </c>
      <c r="C839" s="96" t="s">
        <v>45</v>
      </c>
      <c r="D839" s="102" t="s">
        <v>1644</v>
      </c>
      <c r="E839" s="55" t="s">
        <v>2939</v>
      </c>
      <c r="F839" s="54"/>
      <c r="G839" s="54" t="s">
        <v>3327</v>
      </c>
      <c r="H839" s="88" t="s">
        <v>3834</v>
      </c>
      <c r="I839" s="56">
        <v>5699</v>
      </c>
      <c r="J839" s="54" t="s">
        <v>1290</v>
      </c>
    </row>
    <row r="840" spans="1:10" ht="38.25" x14ac:dyDescent="0.2">
      <c r="A840" s="232"/>
      <c r="B840" s="54">
        <v>71</v>
      </c>
      <c r="C840" s="96" t="s">
        <v>53</v>
      </c>
      <c r="D840" s="102" t="s">
        <v>1644</v>
      </c>
      <c r="E840" s="55">
        <v>196</v>
      </c>
      <c r="F840" s="54"/>
      <c r="G840" s="54" t="s">
        <v>2524</v>
      </c>
      <c r="H840" s="88" t="s">
        <v>3939</v>
      </c>
      <c r="I840" s="56">
        <v>98437.5</v>
      </c>
      <c r="J840" s="54" t="s">
        <v>1290</v>
      </c>
    </row>
    <row r="841" spans="1:10" ht="38.25" x14ac:dyDescent="0.2">
      <c r="A841" s="232"/>
      <c r="B841" s="54">
        <v>72</v>
      </c>
      <c r="C841" s="96" t="s">
        <v>148</v>
      </c>
      <c r="D841" s="102" t="s">
        <v>1644</v>
      </c>
      <c r="E841" s="55">
        <v>203</v>
      </c>
      <c r="F841" s="54"/>
      <c r="G841" s="54" t="s">
        <v>2524</v>
      </c>
      <c r="H841" s="88" t="s">
        <v>3940</v>
      </c>
      <c r="I841" s="56">
        <v>514.5</v>
      </c>
      <c r="J841" s="54" t="s">
        <v>1290</v>
      </c>
    </row>
    <row r="842" spans="1:10" ht="38.25" x14ac:dyDescent="0.2">
      <c r="A842" s="232"/>
      <c r="B842" s="54">
        <v>73</v>
      </c>
      <c r="C842" s="96" t="s">
        <v>53</v>
      </c>
      <c r="D842" s="102" t="s">
        <v>1731</v>
      </c>
      <c r="E842" s="55"/>
      <c r="F842" s="54"/>
      <c r="G842" s="54" t="s">
        <v>3647</v>
      </c>
      <c r="H842" s="88" t="s">
        <v>3774</v>
      </c>
      <c r="I842" s="56">
        <f>7.5*1.05</f>
        <v>7.875</v>
      </c>
      <c r="J842" s="54" t="s">
        <v>1290</v>
      </c>
    </row>
    <row r="843" spans="1:10" ht="38.25" x14ac:dyDescent="0.2">
      <c r="A843" s="232"/>
      <c r="B843" s="54">
        <v>74</v>
      </c>
      <c r="C843" s="96" t="s">
        <v>53</v>
      </c>
      <c r="D843" s="102" t="s">
        <v>4033</v>
      </c>
      <c r="E843" s="55">
        <v>196</v>
      </c>
      <c r="F843" s="54"/>
      <c r="G843" s="54" t="s">
        <v>3477</v>
      </c>
      <c r="H843" s="88" t="s">
        <v>4043</v>
      </c>
      <c r="I843" s="56">
        <f>1500*1.05</f>
        <v>1575</v>
      </c>
      <c r="J843" s="54" t="s">
        <v>1290</v>
      </c>
    </row>
    <row r="844" spans="1:10" ht="38.25" x14ac:dyDescent="0.2">
      <c r="A844" s="232"/>
      <c r="B844" s="54">
        <v>75</v>
      </c>
      <c r="C844" s="96" t="s">
        <v>45</v>
      </c>
      <c r="D844" s="102" t="s">
        <v>4033</v>
      </c>
      <c r="E844" s="55" t="s">
        <v>2939</v>
      </c>
      <c r="F844" s="54"/>
      <c r="G844" s="54" t="s">
        <v>3477</v>
      </c>
      <c r="H844" s="88" t="s">
        <v>4044</v>
      </c>
      <c r="I844" s="56">
        <f>375*1.05</f>
        <v>393.75</v>
      </c>
      <c r="J844" s="54" t="s">
        <v>1290</v>
      </c>
    </row>
    <row r="845" spans="1:10" ht="38.25" x14ac:dyDescent="0.2">
      <c r="A845" s="232"/>
      <c r="B845" s="54">
        <v>76</v>
      </c>
      <c r="C845" s="96" t="s">
        <v>1728</v>
      </c>
      <c r="D845" s="102" t="s">
        <v>4033</v>
      </c>
      <c r="E845" s="55" t="s">
        <v>3936</v>
      </c>
      <c r="F845" s="54"/>
      <c r="G845" s="54" t="s">
        <v>3477</v>
      </c>
      <c r="H845" s="88" t="s">
        <v>4045</v>
      </c>
      <c r="I845" s="56">
        <f>57831*1.05</f>
        <v>60722.55</v>
      </c>
      <c r="J845" s="54" t="s">
        <v>1290</v>
      </c>
    </row>
    <row r="846" spans="1:10" ht="38.25" x14ac:dyDescent="0.2">
      <c r="A846" s="232"/>
      <c r="B846" s="54">
        <v>77</v>
      </c>
      <c r="C846" s="96" t="s">
        <v>45</v>
      </c>
      <c r="D846" s="102" t="s">
        <v>1637</v>
      </c>
      <c r="E846" s="55" t="s">
        <v>3481</v>
      </c>
      <c r="F846" s="54"/>
      <c r="G846" s="54" t="s">
        <v>3652</v>
      </c>
      <c r="H846" s="88" t="s">
        <v>4085</v>
      </c>
      <c r="I846" s="56">
        <v>5408.09</v>
      </c>
      <c r="J846" s="54" t="s">
        <v>1290</v>
      </c>
    </row>
    <row r="847" spans="1:10" ht="38.25" x14ac:dyDescent="0.2">
      <c r="A847" s="232"/>
      <c r="B847" s="54">
        <v>78</v>
      </c>
      <c r="C847" s="96" t="s">
        <v>1728</v>
      </c>
      <c r="D847" s="102" t="s">
        <v>1637</v>
      </c>
      <c r="E847" s="55" t="s">
        <v>3483</v>
      </c>
      <c r="F847" s="54"/>
      <c r="G847" s="54" t="s">
        <v>3477</v>
      </c>
      <c r="H847" s="88" t="s">
        <v>4045</v>
      </c>
      <c r="I847" s="56">
        <v>307102.19</v>
      </c>
      <c r="J847" s="54" t="s">
        <v>1290</v>
      </c>
    </row>
    <row r="848" spans="1:10" ht="38.25" x14ac:dyDescent="0.2">
      <c r="A848" s="232"/>
      <c r="B848" s="54">
        <v>79</v>
      </c>
      <c r="C848" s="96" t="s">
        <v>148</v>
      </c>
      <c r="D848" s="102" t="s">
        <v>1637</v>
      </c>
      <c r="E848" s="55">
        <v>203</v>
      </c>
      <c r="F848" s="54"/>
      <c r="G848" s="54" t="s">
        <v>3477</v>
      </c>
      <c r="H848" s="88" t="s">
        <v>4086</v>
      </c>
      <c r="I848" s="56">
        <v>183.75</v>
      </c>
      <c r="J848" s="54" t="s">
        <v>1290</v>
      </c>
    </row>
    <row r="849" spans="1:10" ht="38.25" x14ac:dyDescent="0.2">
      <c r="A849" s="232"/>
      <c r="B849" s="54">
        <v>80</v>
      </c>
      <c r="C849" s="95" t="s">
        <v>2519</v>
      </c>
      <c r="D849" s="102" t="s">
        <v>1637</v>
      </c>
      <c r="E849" s="55" t="s">
        <v>3209</v>
      </c>
      <c r="F849" s="54"/>
      <c r="G849" s="54" t="s">
        <v>4068</v>
      </c>
      <c r="H849" s="88" t="s">
        <v>4087</v>
      </c>
      <c r="I849" s="56">
        <v>88768.37</v>
      </c>
      <c r="J849" s="54" t="s">
        <v>1290</v>
      </c>
    </row>
    <row r="850" spans="1:10" ht="38.25" x14ac:dyDescent="0.2">
      <c r="A850" s="232"/>
      <c r="B850" s="54">
        <v>81</v>
      </c>
      <c r="C850" s="96" t="s">
        <v>41</v>
      </c>
      <c r="D850" s="102" t="s">
        <v>1637</v>
      </c>
      <c r="E850" s="55">
        <v>190</v>
      </c>
      <c r="F850" s="54"/>
      <c r="G850" s="54" t="s">
        <v>3801</v>
      </c>
      <c r="H850" s="88" t="s">
        <v>4088</v>
      </c>
      <c r="I850" s="56">
        <v>38.85</v>
      </c>
      <c r="J850" s="54" t="s">
        <v>1290</v>
      </c>
    </row>
    <row r="851" spans="1:10" ht="38.25" x14ac:dyDescent="0.2">
      <c r="A851" s="233"/>
      <c r="B851" s="54">
        <v>82</v>
      </c>
      <c r="C851" s="96" t="s">
        <v>53</v>
      </c>
      <c r="D851" s="102" t="s">
        <v>1637</v>
      </c>
      <c r="E851" s="55">
        <v>196</v>
      </c>
      <c r="F851" s="54"/>
      <c r="G851" s="54" t="s">
        <v>3248</v>
      </c>
      <c r="H851" s="88" t="s">
        <v>4089</v>
      </c>
      <c r="I851" s="56">
        <v>66937.5</v>
      </c>
      <c r="J851" s="54" t="s">
        <v>1290</v>
      </c>
    </row>
    <row r="852" spans="1:10" s="6" customFormat="1" ht="38.25" x14ac:dyDescent="0.2">
      <c r="A852" s="218" t="s">
        <v>4164</v>
      </c>
      <c r="B852" s="40">
        <v>1</v>
      </c>
      <c r="C852" s="152" t="s">
        <v>1728</v>
      </c>
      <c r="D852" s="153" t="s">
        <v>1618</v>
      </c>
      <c r="E852" s="104" t="s">
        <v>2897</v>
      </c>
      <c r="F852" s="40"/>
      <c r="G852" s="40" t="s">
        <v>2889</v>
      </c>
      <c r="H852" s="136" t="s">
        <v>2898</v>
      </c>
      <c r="I852" s="114">
        <f>3569.79+5773.74+157+2044.77+473.34+40483.8+13866.3</f>
        <v>66368.740000000005</v>
      </c>
      <c r="J852" s="40" t="s">
        <v>1290</v>
      </c>
    </row>
    <row r="853" spans="1:10" s="6" customFormat="1" ht="38.25" x14ac:dyDescent="0.2">
      <c r="A853" s="219"/>
      <c r="B853" s="40">
        <v>2</v>
      </c>
      <c r="C853" s="152" t="s">
        <v>45</v>
      </c>
      <c r="D853" s="153" t="s">
        <v>1618</v>
      </c>
      <c r="E853" s="104" t="s">
        <v>2899</v>
      </c>
      <c r="F853" s="40"/>
      <c r="G853" s="40" t="s">
        <v>2889</v>
      </c>
      <c r="H853" s="136" t="s">
        <v>2900</v>
      </c>
      <c r="I853" s="114">
        <f>28869.23+200332.44+118.13</f>
        <v>229319.80000000002</v>
      </c>
      <c r="J853" s="40" t="s">
        <v>1290</v>
      </c>
    </row>
    <row r="854" spans="1:10" s="6" customFormat="1" ht="38.25" x14ac:dyDescent="0.2">
      <c r="A854" s="219"/>
      <c r="B854" s="40">
        <v>3</v>
      </c>
      <c r="C854" s="152" t="s">
        <v>41</v>
      </c>
      <c r="D854" s="153" t="s">
        <v>1618</v>
      </c>
      <c r="E854" s="104" t="s">
        <v>2901</v>
      </c>
      <c r="F854" s="40"/>
      <c r="G854" s="40" t="s">
        <v>2889</v>
      </c>
      <c r="H854" s="136" t="s">
        <v>2902</v>
      </c>
      <c r="I854" s="114">
        <f>33375.3+17325+27894.83+68744.55+11355.75+64795.5</f>
        <v>223490.93</v>
      </c>
      <c r="J854" s="40" t="s">
        <v>1290</v>
      </c>
    </row>
    <row r="855" spans="1:10" s="6" customFormat="1" ht="38.25" x14ac:dyDescent="0.2">
      <c r="A855" s="219"/>
      <c r="B855" s="40">
        <v>4</v>
      </c>
      <c r="C855" s="154" t="s">
        <v>2519</v>
      </c>
      <c r="D855" s="153" t="s">
        <v>1618</v>
      </c>
      <c r="E855" s="104" t="s">
        <v>2903</v>
      </c>
      <c r="F855" s="40"/>
      <c r="G855" s="40" t="s">
        <v>2889</v>
      </c>
      <c r="H855" s="136" t="s">
        <v>2904</v>
      </c>
      <c r="I855" s="114">
        <f>168.84+3165.44+69975.68+15949.5+472.5+2494.8+85.05</f>
        <v>92311.81</v>
      </c>
      <c r="J855" s="40" t="s">
        <v>1290</v>
      </c>
    </row>
    <row r="856" spans="1:10" s="6" customFormat="1" ht="38.25" x14ac:dyDescent="0.2">
      <c r="A856" s="219"/>
      <c r="B856" s="40">
        <v>5</v>
      </c>
      <c r="C856" s="152" t="s">
        <v>2905</v>
      </c>
      <c r="D856" s="153" t="s">
        <v>1618</v>
      </c>
      <c r="E856" s="104">
        <v>220</v>
      </c>
      <c r="F856" s="40"/>
      <c r="G856" s="40" t="s">
        <v>2889</v>
      </c>
      <c r="H856" s="136" t="s">
        <v>2906</v>
      </c>
      <c r="I856" s="114">
        <v>1411.2</v>
      </c>
      <c r="J856" s="40" t="s">
        <v>1290</v>
      </c>
    </row>
    <row r="857" spans="1:10" s="6" customFormat="1" ht="38.25" x14ac:dyDescent="0.2">
      <c r="A857" s="219"/>
      <c r="B857" s="40">
        <v>6</v>
      </c>
      <c r="C857" s="152" t="s">
        <v>45</v>
      </c>
      <c r="D857" s="153" t="s">
        <v>1641</v>
      </c>
      <c r="E857" s="104" t="s">
        <v>2932</v>
      </c>
      <c r="F857" s="40"/>
      <c r="G857" s="40" t="s">
        <v>2889</v>
      </c>
      <c r="H857" s="136" t="s">
        <v>2933</v>
      </c>
      <c r="I857" s="114">
        <v>373634.63</v>
      </c>
      <c r="J857" s="40" t="s">
        <v>1290</v>
      </c>
    </row>
    <row r="858" spans="1:10" s="6" customFormat="1" ht="51" x14ac:dyDescent="0.2">
      <c r="A858" s="219"/>
      <c r="B858" s="40">
        <v>7</v>
      </c>
      <c r="C858" s="152" t="s">
        <v>1728</v>
      </c>
      <c r="D858" s="153" t="s">
        <v>1641</v>
      </c>
      <c r="E858" s="104" t="s">
        <v>2934</v>
      </c>
      <c r="F858" s="40"/>
      <c r="G858" s="40" t="s">
        <v>2889</v>
      </c>
      <c r="H858" s="136" t="s">
        <v>2935</v>
      </c>
      <c r="I858" s="114">
        <v>41753.82</v>
      </c>
      <c r="J858" s="40" t="s">
        <v>1290</v>
      </c>
    </row>
    <row r="859" spans="1:10" s="6" customFormat="1" ht="38.25" x14ac:dyDescent="0.2">
      <c r="A859" s="219"/>
      <c r="B859" s="40">
        <v>8</v>
      </c>
      <c r="C859" s="152" t="s">
        <v>2905</v>
      </c>
      <c r="D859" s="153" t="s">
        <v>1641</v>
      </c>
      <c r="E859" s="104" t="s">
        <v>2936</v>
      </c>
      <c r="F859" s="40"/>
      <c r="G859" s="40" t="s">
        <v>2889</v>
      </c>
      <c r="H859" s="136" t="s">
        <v>2937</v>
      </c>
      <c r="I859" s="114">
        <v>5510.61</v>
      </c>
      <c r="J859" s="40" t="s">
        <v>1290</v>
      </c>
    </row>
    <row r="860" spans="1:10" s="6" customFormat="1" ht="38.25" x14ac:dyDescent="0.2">
      <c r="A860" s="219"/>
      <c r="B860" s="40">
        <v>9</v>
      </c>
      <c r="C860" s="152" t="s">
        <v>2905</v>
      </c>
      <c r="D860" s="153" t="s">
        <v>1692</v>
      </c>
      <c r="E860" s="104">
        <v>220</v>
      </c>
      <c r="F860" s="40"/>
      <c r="G860" s="40" t="s">
        <v>2524</v>
      </c>
      <c r="H860" s="136" t="s">
        <v>3184</v>
      </c>
      <c r="I860" s="114">
        <v>282.24</v>
      </c>
      <c r="J860" s="40" t="s">
        <v>1290</v>
      </c>
    </row>
    <row r="861" spans="1:10" s="6" customFormat="1" ht="38.25" x14ac:dyDescent="0.2">
      <c r="A861" s="219"/>
      <c r="B861" s="40">
        <v>10</v>
      </c>
      <c r="C861" s="154" t="s">
        <v>2519</v>
      </c>
      <c r="D861" s="153" t="s">
        <v>1692</v>
      </c>
      <c r="E861" s="104" t="s">
        <v>3185</v>
      </c>
      <c r="F861" s="40"/>
      <c r="G861" s="40" t="s">
        <v>2524</v>
      </c>
      <c r="H861" s="136" t="s">
        <v>3186</v>
      </c>
      <c r="I861" s="114">
        <v>6756.38</v>
      </c>
      <c r="J861" s="40" t="s">
        <v>1290</v>
      </c>
    </row>
    <row r="862" spans="1:10" s="6" customFormat="1" ht="38.25" x14ac:dyDescent="0.2">
      <c r="A862" s="219"/>
      <c r="B862" s="40">
        <v>11</v>
      </c>
      <c r="C862" s="152" t="s">
        <v>41</v>
      </c>
      <c r="D862" s="153" t="s">
        <v>1692</v>
      </c>
      <c r="E862" s="104" t="s">
        <v>3187</v>
      </c>
      <c r="F862" s="40"/>
      <c r="G862" s="40" t="s">
        <v>2524</v>
      </c>
      <c r="H862" s="136" t="s">
        <v>3188</v>
      </c>
      <c r="I862" s="114">
        <v>21869.23</v>
      </c>
      <c r="J862" s="40" t="s">
        <v>1290</v>
      </c>
    </row>
    <row r="863" spans="1:10" s="6" customFormat="1" ht="38.25" x14ac:dyDescent="0.2">
      <c r="A863" s="219"/>
      <c r="B863" s="40">
        <v>12</v>
      </c>
      <c r="C863" s="152" t="s">
        <v>45</v>
      </c>
      <c r="D863" s="153" t="s">
        <v>1692</v>
      </c>
      <c r="E863" s="104" t="s">
        <v>3189</v>
      </c>
      <c r="F863" s="40"/>
      <c r="G863" s="40" t="s">
        <v>2524</v>
      </c>
      <c r="H863" s="136" t="s">
        <v>3190</v>
      </c>
      <c r="I863" s="114">
        <v>297927.63</v>
      </c>
      <c r="J863" s="40" t="s">
        <v>1290</v>
      </c>
    </row>
    <row r="864" spans="1:10" s="6" customFormat="1" ht="38.25" x14ac:dyDescent="0.2">
      <c r="A864" s="219"/>
      <c r="B864" s="40">
        <v>13</v>
      </c>
      <c r="C864" s="152" t="s">
        <v>1728</v>
      </c>
      <c r="D864" s="153" t="s">
        <v>1692</v>
      </c>
      <c r="E864" s="104" t="s">
        <v>3191</v>
      </c>
      <c r="F864" s="40"/>
      <c r="G864" s="40" t="s">
        <v>2524</v>
      </c>
      <c r="H864" s="136" t="s">
        <v>3192</v>
      </c>
      <c r="I864" s="114">
        <v>297927.63</v>
      </c>
      <c r="J864" s="40" t="s">
        <v>1290</v>
      </c>
    </row>
    <row r="865" spans="1:10" s="6" customFormat="1" ht="38.25" x14ac:dyDescent="0.2">
      <c r="A865" s="219"/>
      <c r="B865" s="40">
        <v>14</v>
      </c>
      <c r="C865" s="152" t="s">
        <v>45</v>
      </c>
      <c r="D865" s="153" t="s">
        <v>2788</v>
      </c>
      <c r="E865" s="104" t="s">
        <v>3189</v>
      </c>
      <c r="F865" s="40" t="s">
        <v>3193</v>
      </c>
      <c r="G865" s="40" t="s">
        <v>2794</v>
      </c>
      <c r="H865" s="136" t="s">
        <v>3194</v>
      </c>
      <c r="I865" s="114">
        <v>711933.6</v>
      </c>
      <c r="J865" s="40" t="s">
        <v>1290</v>
      </c>
    </row>
    <row r="866" spans="1:10" s="6" customFormat="1" ht="38.25" x14ac:dyDescent="0.2">
      <c r="A866" s="219"/>
      <c r="B866" s="40">
        <v>15</v>
      </c>
      <c r="C866" s="152" t="s">
        <v>1728</v>
      </c>
      <c r="D866" s="153" t="s">
        <v>2788</v>
      </c>
      <c r="E866" s="104" t="s">
        <v>3195</v>
      </c>
      <c r="F866" s="40"/>
      <c r="G866" s="40" t="s">
        <v>3196</v>
      </c>
      <c r="H866" s="136" t="s">
        <v>3197</v>
      </c>
      <c r="I866" s="114">
        <v>82687.839999999997</v>
      </c>
      <c r="J866" s="40" t="s">
        <v>1290</v>
      </c>
    </row>
    <row r="867" spans="1:10" s="6" customFormat="1" ht="38.25" x14ac:dyDescent="0.2">
      <c r="A867" s="219"/>
      <c r="B867" s="40">
        <v>16</v>
      </c>
      <c r="C867" s="152" t="s">
        <v>41</v>
      </c>
      <c r="D867" s="153" t="s">
        <v>2788</v>
      </c>
      <c r="E867" s="104" t="s">
        <v>3198</v>
      </c>
      <c r="F867" s="40"/>
      <c r="G867" s="40" t="s">
        <v>3199</v>
      </c>
      <c r="H867" s="136" t="s">
        <v>3200</v>
      </c>
      <c r="I867" s="114">
        <v>290219</v>
      </c>
      <c r="J867" s="40" t="s">
        <v>1290</v>
      </c>
    </row>
    <row r="868" spans="1:10" s="6" customFormat="1" ht="38.25" x14ac:dyDescent="0.2">
      <c r="A868" s="219"/>
      <c r="B868" s="40">
        <v>17</v>
      </c>
      <c r="C868" s="154" t="s">
        <v>2519</v>
      </c>
      <c r="D868" s="153" t="s">
        <v>2788</v>
      </c>
      <c r="E868" s="104" t="s">
        <v>3201</v>
      </c>
      <c r="F868" s="40"/>
      <c r="G868" s="40" t="s">
        <v>3199</v>
      </c>
      <c r="H868" s="136" t="s">
        <v>3200</v>
      </c>
      <c r="I868" s="114">
        <v>26966.52</v>
      </c>
      <c r="J868" s="40" t="s">
        <v>1290</v>
      </c>
    </row>
    <row r="869" spans="1:10" s="6" customFormat="1" ht="38.25" x14ac:dyDescent="0.2">
      <c r="A869" s="219"/>
      <c r="B869" s="40">
        <v>18</v>
      </c>
      <c r="C869" s="152" t="s">
        <v>41</v>
      </c>
      <c r="D869" s="153" t="s">
        <v>2352</v>
      </c>
      <c r="E869" s="104" t="s">
        <v>3202</v>
      </c>
      <c r="F869" s="40"/>
      <c r="G869" s="40" t="s">
        <v>2524</v>
      </c>
      <c r="H869" s="136" t="s">
        <v>3203</v>
      </c>
      <c r="I869" s="114">
        <v>17323.740000000002</v>
      </c>
      <c r="J869" s="40" t="s">
        <v>1290</v>
      </c>
    </row>
    <row r="870" spans="1:10" s="6" customFormat="1" ht="38.25" x14ac:dyDescent="0.2">
      <c r="A870" s="219"/>
      <c r="B870" s="40">
        <v>19</v>
      </c>
      <c r="C870" s="152" t="s">
        <v>45</v>
      </c>
      <c r="D870" s="153" t="s">
        <v>2352</v>
      </c>
      <c r="E870" s="104" t="s">
        <v>3204</v>
      </c>
      <c r="F870" s="40"/>
      <c r="G870" s="40" t="s">
        <v>2524</v>
      </c>
      <c r="H870" s="136" t="s">
        <v>3203</v>
      </c>
      <c r="I870" s="114">
        <v>42508.94</v>
      </c>
      <c r="J870" s="40" t="s">
        <v>1290</v>
      </c>
    </row>
    <row r="871" spans="1:10" s="6" customFormat="1" ht="38.25" x14ac:dyDescent="0.2">
      <c r="A871" s="219"/>
      <c r="B871" s="40">
        <v>20</v>
      </c>
      <c r="C871" s="152" t="s">
        <v>1728</v>
      </c>
      <c r="D871" s="153" t="s">
        <v>2352</v>
      </c>
      <c r="E871" s="104">
        <v>245</v>
      </c>
      <c r="F871" s="40"/>
      <c r="G871" s="40" t="s">
        <v>2524</v>
      </c>
      <c r="H871" s="136" t="s">
        <v>3203</v>
      </c>
      <c r="I871" s="114">
        <v>7206.57</v>
      </c>
      <c r="J871" s="40" t="s">
        <v>1290</v>
      </c>
    </row>
    <row r="872" spans="1:10" s="6" customFormat="1" ht="38.25" x14ac:dyDescent="0.2">
      <c r="A872" s="219"/>
      <c r="B872" s="40">
        <v>21</v>
      </c>
      <c r="C872" s="154" t="s">
        <v>2519</v>
      </c>
      <c r="D872" s="153" t="s">
        <v>2352</v>
      </c>
      <c r="E872" s="104" t="s">
        <v>3205</v>
      </c>
      <c r="F872" s="40"/>
      <c r="G872" s="40" t="s">
        <v>2524</v>
      </c>
      <c r="H872" s="136" t="s">
        <v>3203</v>
      </c>
      <c r="I872" s="114">
        <v>37.799999999999997</v>
      </c>
      <c r="J872" s="40" t="s">
        <v>1290</v>
      </c>
    </row>
    <row r="873" spans="1:10" s="6" customFormat="1" ht="38.25" x14ac:dyDescent="0.2">
      <c r="A873" s="219"/>
      <c r="B873" s="40">
        <v>22</v>
      </c>
      <c r="C873" s="154" t="s">
        <v>2519</v>
      </c>
      <c r="D873" s="153" t="s">
        <v>2142</v>
      </c>
      <c r="E873" s="104" t="s">
        <v>3433</v>
      </c>
      <c r="F873" s="40"/>
      <c r="G873" s="40" t="s">
        <v>2794</v>
      </c>
      <c r="H873" s="136" t="s">
        <v>3434</v>
      </c>
      <c r="I873" s="114">
        <v>23088.03</v>
      </c>
      <c r="J873" s="40" t="s">
        <v>1290</v>
      </c>
    </row>
    <row r="874" spans="1:10" s="6" customFormat="1" ht="63.75" x14ac:dyDescent="0.2">
      <c r="A874" s="219"/>
      <c r="B874" s="40">
        <v>23</v>
      </c>
      <c r="C874" s="154" t="s">
        <v>2519</v>
      </c>
      <c r="D874" s="153" t="s">
        <v>1641</v>
      </c>
      <c r="E874" s="104" t="s">
        <v>3435</v>
      </c>
      <c r="F874" s="40"/>
      <c r="G874" s="40" t="s">
        <v>2889</v>
      </c>
      <c r="H874" s="136" t="s">
        <v>3436</v>
      </c>
      <c r="I874" s="114">
        <v>49954.8</v>
      </c>
      <c r="J874" s="40" t="s">
        <v>1290</v>
      </c>
    </row>
    <row r="875" spans="1:10" s="6" customFormat="1" ht="51" x14ac:dyDescent="0.2">
      <c r="A875" s="219"/>
      <c r="B875" s="40">
        <v>24</v>
      </c>
      <c r="C875" s="152" t="s">
        <v>41</v>
      </c>
      <c r="D875" s="153" t="s">
        <v>1641</v>
      </c>
      <c r="E875" s="104" t="s">
        <v>2901</v>
      </c>
      <c r="F875" s="40"/>
      <c r="G875" s="40" t="s">
        <v>2889</v>
      </c>
      <c r="H875" s="136" t="s">
        <v>3437</v>
      </c>
      <c r="I875" s="114">
        <v>250796.28</v>
      </c>
      <c r="J875" s="40" t="s">
        <v>1290</v>
      </c>
    </row>
    <row r="876" spans="1:10" s="6" customFormat="1" ht="38.25" x14ac:dyDescent="0.2">
      <c r="A876" s="219"/>
      <c r="B876" s="40">
        <v>25</v>
      </c>
      <c r="C876" s="152" t="s">
        <v>1728</v>
      </c>
      <c r="D876" s="153" t="s">
        <v>3466</v>
      </c>
      <c r="E876" s="104">
        <v>245</v>
      </c>
      <c r="F876" s="40"/>
      <c r="G876" s="40" t="s">
        <v>2858</v>
      </c>
      <c r="H876" s="136" t="s">
        <v>3467</v>
      </c>
      <c r="I876" s="114">
        <f>93*1.25</f>
        <v>116.25</v>
      </c>
      <c r="J876" s="40" t="s">
        <v>1290</v>
      </c>
    </row>
    <row r="877" spans="1:10" s="6" customFormat="1" ht="38.25" x14ac:dyDescent="0.2">
      <c r="A877" s="219"/>
      <c r="B877" s="40">
        <v>26</v>
      </c>
      <c r="C877" s="152" t="s">
        <v>41</v>
      </c>
      <c r="D877" s="153" t="s">
        <v>2560</v>
      </c>
      <c r="E877" s="104">
        <v>221</v>
      </c>
      <c r="F877" s="40"/>
      <c r="G877" s="40" t="s">
        <v>3468</v>
      </c>
      <c r="H877" s="136" t="s">
        <v>3469</v>
      </c>
      <c r="I877" s="114">
        <v>35458.5</v>
      </c>
      <c r="J877" s="40" t="s">
        <v>1290</v>
      </c>
    </row>
    <row r="878" spans="1:10" s="6" customFormat="1" ht="38.25" x14ac:dyDescent="0.2">
      <c r="A878" s="219"/>
      <c r="B878" s="40">
        <v>27</v>
      </c>
      <c r="C878" s="152" t="s">
        <v>1728</v>
      </c>
      <c r="D878" s="153" t="s">
        <v>2560</v>
      </c>
      <c r="E878" s="104" t="s">
        <v>3470</v>
      </c>
      <c r="F878" s="40"/>
      <c r="G878" s="40" t="s">
        <v>3279</v>
      </c>
      <c r="H878" s="136" t="s">
        <v>3471</v>
      </c>
      <c r="I878" s="114">
        <v>145183.39000000001</v>
      </c>
      <c r="J878" s="40" t="s">
        <v>1290</v>
      </c>
    </row>
    <row r="879" spans="1:10" s="6" customFormat="1" ht="38.25" x14ac:dyDescent="0.2">
      <c r="A879" s="219"/>
      <c r="B879" s="40">
        <v>28</v>
      </c>
      <c r="C879" s="154" t="s">
        <v>2519</v>
      </c>
      <c r="D879" s="153" t="s">
        <v>2560</v>
      </c>
      <c r="E879" s="104" t="s">
        <v>3472</v>
      </c>
      <c r="F879" s="40"/>
      <c r="G879" s="40" t="s">
        <v>3199</v>
      </c>
      <c r="H879" s="136" t="s">
        <v>3473</v>
      </c>
      <c r="I879" s="114">
        <v>70626.570000000007</v>
      </c>
      <c r="J879" s="40" t="s">
        <v>1290</v>
      </c>
    </row>
    <row r="880" spans="1:10" s="6" customFormat="1" ht="38.25" x14ac:dyDescent="0.2">
      <c r="A880" s="219"/>
      <c r="B880" s="40">
        <v>29</v>
      </c>
      <c r="C880" s="154" t="s">
        <v>2519</v>
      </c>
      <c r="D880" s="153" t="s">
        <v>2554</v>
      </c>
      <c r="E880" s="104" t="s">
        <v>3545</v>
      </c>
      <c r="F880" s="40"/>
      <c r="G880" s="40" t="s">
        <v>3199</v>
      </c>
      <c r="H880" s="136" t="s">
        <v>3473</v>
      </c>
      <c r="I880" s="114">
        <v>94031.07</v>
      </c>
      <c r="J880" s="40" t="s">
        <v>1290</v>
      </c>
    </row>
    <row r="881" spans="1:10" s="6" customFormat="1" ht="38.25" x14ac:dyDescent="0.2">
      <c r="A881" s="219"/>
      <c r="B881" s="40">
        <v>30</v>
      </c>
      <c r="C881" s="152" t="s">
        <v>41</v>
      </c>
      <c r="D881" s="153" t="s">
        <v>2554</v>
      </c>
      <c r="E881" s="104" t="s">
        <v>3546</v>
      </c>
      <c r="F881" s="40"/>
      <c r="G881" s="40" t="s">
        <v>2823</v>
      </c>
      <c r="H881" s="136" t="s">
        <v>3547</v>
      </c>
      <c r="I881" s="114">
        <v>363195.95</v>
      </c>
      <c r="J881" s="40" t="s">
        <v>1290</v>
      </c>
    </row>
    <row r="882" spans="1:10" s="6" customFormat="1" ht="38.25" x14ac:dyDescent="0.2">
      <c r="A882" s="219"/>
      <c r="B882" s="40">
        <v>31</v>
      </c>
      <c r="C882" s="152" t="s">
        <v>1728</v>
      </c>
      <c r="D882" s="153" t="s">
        <v>2554</v>
      </c>
      <c r="E882" s="104" t="s">
        <v>3548</v>
      </c>
      <c r="F882" s="40"/>
      <c r="G882" s="40" t="s">
        <v>2823</v>
      </c>
      <c r="H882" s="136" t="s">
        <v>3549</v>
      </c>
      <c r="I882" s="114">
        <v>535940.1</v>
      </c>
      <c r="J882" s="40" t="s">
        <v>1290</v>
      </c>
    </row>
    <row r="883" spans="1:10" s="6" customFormat="1" ht="38.25" x14ac:dyDescent="0.2">
      <c r="A883" s="219"/>
      <c r="B883" s="40">
        <v>32</v>
      </c>
      <c r="C883" s="152" t="s">
        <v>45</v>
      </c>
      <c r="D883" s="153" t="s">
        <v>2554</v>
      </c>
      <c r="E883" s="104" t="s">
        <v>3189</v>
      </c>
      <c r="F883" s="40"/>
      <c r="G883" s="40" t="s">
        <v>2956</v>
      </c>
      <c r="H883" s="136" t="s">
        <v>3550</v>
      </c>
      <c r="I883" s="114">
        <v>358880.03</v>
      </c>
      <c r="J883" s="40" t="s">
        <v>1290</v>
      </c>
    </row>
    <row r="884" spans="1:10" s="6" customFormat="1" ht="38.25" x14ac:dyDescent="0.2">
      <c r="A884" s="219"/>
      <c r="B884" s="40">
        <v>33</v>
      </c>
      <c r="C884" s="152" t="s">
        <v>2905</v>
      </c>
      <c r="D884" s="153" t="s">
        <v>2554</v>
      </c>
      <c r="E884" s="104">
        <v>220</v>
      </c>
      <c r="F884" s="40"/>
      <c r="G884" s="40" t="s">
        <v>3245</v>
      </c>
      <c r="H884" s="136" t="s">
        <v>3551</v>
      </c>
      <c r="I884" s="114">
        <v>188160</v>
      </c>
      <c r="J884" s="40" t="s">
        <v>1290</v>
      </c>
    </row>
    <row r="885" spans="1:10" s="6" customFormat="1" ht="38.25" x14ac:dyDescent="0.2">
      <c r="A885" s="219"/>
      <c r="B885" s="40">
        <v>34</v>
      </c>
      <c r="C885" s="152" t="s">
        <v>1728</v>
      </c>
      <c r="D885" s="153" t="s">
        <v>2142</v>
      </c>
      <c r="E885" s="104" t="s">
        <v>3552</v>
      </c>
      <c r="F885" s="40"/>
      <c r="G885" s="40" t="s">
        <v>2794</v>
      </c>
      <c r="H885" s="136" t="s">
        <v>3553</v>
      </c>
      <c r="I885" s="114">
        <v>38111.160000000003</v>
      </c>
      <c r="J885" s="40" t="s">
        <v>1290</v>
      </c>
    </row>
    <row r="886" spans="1:10" s="6" customFormat="1" ht="38.25" x14ac:dyDescent="0.2">
      <c r="A886" s="219"/>
      <c r="B886" s="40">
        <v>35</v>
      </c>
      <c r="C886" s="152" t="s">
        <v>45</v>
      </c>
      <c r="D886" s="153" t="s">
        <v>2142</v>
      </c>
      <c r="E886" s="104" t="s">
        <v>3189</v>
      </c>
      <c r="F886" s="40"/>
      <c r="G886" s="40" t="s">
        <v>2794</v>
      </c>
      <c r="H886" s="136" t="s">
        <v>3554</v>
      </c>
      <c r="I886" s="114">
        <v>59659.11</v>
      </c>
      <c r="J886" s="40" t="s">
        <v>1290</v>
      </c>
    </row>
    <row r="887" spans="1:10" s="6" customFormat="1" ht="38.25" x14ac:dyDescent="0.2">
      <c r="A887" s="219"/>
      <c r="B887" s="40">
        <v>36</v>
      </c>
      <c r="C887" s="152" t="s">
        <v>41</v>
      </c>
      <c r="D887" s="153" t="s">
        <v>2142</v>
      </c>
      <c r="E887" s="104" t="s">
        <v>3187</v>
      </c>
      <c r="F887" s="40"/>
      <c r="G887" s="40" t="s">
        <v>2794</v>
      </c>
      <c r="H887" s="136" t="s">
        <v>3555</v>
      </c>
      <c r="I887" s="114">
        <v>45147.17</v>
      </c>
      <c r="J887" s="40" t="s">
        <v>1290</v>
      </c>
    </row>
    <row r="888" spans="1:10" s="6" customFormat="1" ht="38.25" x14ac:dyDescent="0.2">
      <c r="A888" s="219"/>
      <c r="B888" s="40">
        <v>37</v>
      </c>
      <c r="C888" s="152" t="s">
        <v>2905</v>
      </c>
      <c r="D888" s="153" t="s">
        <v>2142</v>
      </c>
      <c r="E888" s="104">
        <v>220</v>
      </c>
      <c r="F888" s="40"/>
      <c r="G888" s="40" t="s">
        <v>2794</v>
      </c>
      <c r="H888" s="136" t="s">
        <v>3556</v>
      </c>
      <c r="I888" s="114">
        <v>21168</v>
      </c>
      <c r="J888" s="40" t="s">
        <v>1290</v>
      </c>
    </row>
    <row r="889" spans="1:10" s="6" customFormat="1" ht="38.25" x14ac:dyDescent="0.2">
      <c r="A889" s="219"/>
      <c r="B889" s="40">
        <v>38</v>
      </c>
      <c r="C889" s="152" t="s">
        <v>1728</v>
      </c>
      <c r="D889" s="153" t="s">
        <v>2383</v>
      </c>
      <c r="E889" s="104" t="s">
        <v>3700</v>
      </c>
      <c r="F889" s="40"/>
      <c r="G889" s="40" t="s">
        <v>2879</v>
      </c>
      <c r="H889" s="136" t="s">
        <v>3701</v>
      </c>
      <c r="I889" s="114">
        <f>(4538.4+4765.32)*1.05</f>
        <v>9768.905999999999</v>
      </c>
      <c r="J889" s="40" t="s">
        <v>1290</v>
      </c>
    </row>
    <row r="890" spans="1:10" s="6" customFormat="1" ht="38.25" x14ac:dyDescent="0.2">
      <c r="A890" s="219"/>
      <c r="B890" s="40">
        <v>39</v>
      </c>
      <c r="C890" s="152" t="s">
        <v>45</v>
      </c>
      <c r="D890" s="153" t="s">
        <v>2383</v>
      </c>
      <c r="E890" s="104">
        <v>250</v>
      </c>
      <c r="F890" s="40"/>
      <c r="G890" s="40" t="s">
        <v>2825</v>
      </c>
      <c r="H890" s="136" t="s">
        <v>3702</v>
      </c>
      <c r="I890" s="114">
        <f>(99+103.95)*1.05</f>
        <v>213.0975</v>
      </c>
      <c r="J890" s="40" t="s">
        <v>1290</v>
      </c>
    </row>
    <row r="891" spans="1:10" s="6" customFormat="1" ht="38.25" x14ac:dyDescent="0.2">
      <c r="A891" s="219"/>
      <c r="B891" s="40">
        <v>40</v>
      </c>
      <c r="C891" s="154" t="s">
        <v>2519</v>
      </c>
      <c r="D891" s="153" t="s">
        <v>2383</v>
      </c>
      <c r="E891" s="104" t="s">
        <v>3703</v>
      </c>
      <c r="F891" s="40"/>
      <c r="G891" s="40" t="s">
        <v>3199</v>
      </c>
      <c r="H891" s="136" t="s">
        <v>3473</v>
      </c>
      <c r="I891" s="114">
        <f>(318+333.9)*1.05</f>
        <v>684.495</v>
      </c>
      <c r="J891" s="40" t="s">
        <v>1290</v>
      </c>
    </row>
    <row r="892" spans="1:10" s="6" customFormat="1" ht="38.25" x14ac:dyDescent="0.2">
      <c r="A892" s="219"/>
      <c r="B892" s="40">
        <v>41</v>
      </c>
      <c r="C892" s="154" t="s">
        <v>2519</v>
      </c>
      <c r="D892" s="153" t="s">
        <v>2154</v>
      </c>
      <c r="E892" s="104" t="s">
        <v>3815</v>
      </c>
      <c r="F892" s="40"/>
      <c r="G892" s="40" t="s">
        <v>3477</v>
      </c>
      <c r="H892" s="136" t="s">
        <v>3816</v>
      </c>
      <c r="I892" s="114">
        <f>(24816.77+7595+922.5+1048.5)*1.05</f>
        <v>36101.908500000005</v>
      </c>
      <c r="J892" s="40" t="s">
        <v>1290</v>
      </c>
    </row>
    <row r="893" spans="1:10" s="6" customFormat="1" ht="38.25" x14ac:dyDescent="0.2">
      <c r="A893" s="219"/>
      <c r="B893" s="40">
        <v>42</v>
      </c>
      <c r="C893" s="152" t="s">
        <v>45</v>
      </c>
      <c r="D893" s="153" t="s">
        <v>2154</v>
      </c>
      <c r="E893" s="104" t="s">
        <v>3817</v>
      </c>
      <c r="F893" s="40"/>
      <c r="G893" s="40" t="s">
        <v>3711</v>
      </c>
      <c r="H893" s="136" t="s">
        <v>3818</v>
      </c>
      <c r="I893" s="114">
        <f>(5548.89+1095)*1.05</f>
        <v>6976.0845000000008</v>
      </c>
      <c r="J893" s="40" t="s">
        <v>1290</v>
      </c>
    </row>
    <row r="894" spans="1:10" s="6" customFormat="1" ht="38.25" x14ac:dyDescent="0.2">
      <c r="A894" s="219"/>
      <c r="B894" s="40">
        <v>43</v>
      </c>
      <c r="C894" s="152" t="s">
        <v>41</v>
      </c>
      <c r="D894" s="153" t="s">
        <v>2154</v>
      </c>
      <c r="E894" s="104" t="s">
        <v>3819</v>
      </c>
      <c r="F894" s="40"/>
      <c r="G894" s="40" t="s">
        <v>3248</v>
      </c>
      <c r="H894" s="136" t="s">
        <v>3820</v>
      </c>
      <c r="I894" s="114">
        <f>(1036.5+34567.5+11157.93+137940)*1.05</f>
        <v>193937.02650000001</v>
      </c>
      <c r="J894" s="40" t="s">
        <v>1290</v>
      </c>
    </row>
    <row r="895" spans="1:10" s="6" customFormat="1" ht="38.25" x14ac:dyDescent="0.2">
      <c r="A895" s="219"/>
      <c r="B895" s="40">
        <v>44</v>
      </c>
      <c r="C895" s="152" t="s">
        <v>1728</v>
      </c>
      <c r="D895" s="153" t="s">
        <v>2154</v>
      </c>
      <c r="E895" s="104" t="s">
        <v>3821</v>
      </c>
      <c r="F895" s="40"/>
      <c r="G895" s="40" t="s">
        <v>3468</v>
      </c>
      <c r="H895" s="136" t="s">
        <v>3822</v>
      </c>
      <c r="I895" s="114">
        <f>(99.68+23500.8+1743.75)*1.05</f>
        <v>26611.441500000001</v>
      </c>
      <c r="J895" s="40" t="s">
        <v>1290</v>
      </c>
    </row>
    <row r="896" spans="1:10" s="6" customFormat="1" ht="38.25" x14ac:dyDescent="0.2">
      <c r="A896" s="219"/>
      <c r="B896" s="40">
        <v>45</v>
      </c>
      <c r="C896" s="152" t="s">
        <v>1728</v>
      </c>
      <c r="D896" s="153" t="s">
        <v>2259</v>
      </c>
      <c r="E896" s="104" t="s">
        <v>3191</v>
      </c>
      <c r="F896" s="40"/>
      <c r="G896" s="40" t="s">
        <v>2794</v>
      </c>
      <c r="H896" s="136" t="s">
        <v>3553</v>
      </c>
      <c r="I896" s="114">
        <v>642.6</v>
      </c>
      <c r="J896" s="40" t="s">
        <v>1290</v>
      </c>
    </row>
    <row r="897" spans="1:10" s="6" customFormat="1" ht="38.25" x14ac:dyDescent="0.2">
      <c r="A897" s="219"/>
      <c r="B897" s="40">
        <v>46</v>
      </c>
      <c r="C897" s="152" t="s">
        <v>1728</v>
      </c>
      <c r="D897" s="153" t="s">
        <v>2259</v>
      </c>
      <c r="E897" s="104" t="s">
        <v>3832</v>
      </c>
      <c r="F897" s="40"/>
      <c r="G897" s="40" t="s">
        <v>2858</v>
      </c>
      <c r="H897" s="136" t="s">
        <v>3833</v>
      </c>
      <c r="I897" s="114">
        <v>104953.8</v>
      </c>
      <c r="J897" s="40" t="s">
        <v>1290</v>
      </c>
    </row>
    <row r="898" spans="1:10" s="6" customFormat="1" ht="38.25" x14ac:dyDescent="0.2">
      <c r="A898" s="219"/>
      <c r="B898" s="40">
        <v>47</v>
      </c>
      <c r="C898" s="152" t="s">
        <v>45</v>
      </c>
      <c r="D898" s="153" t="s">
        <v>2259</v>
      </c>
      <c r="E898" s="104" t="s">
        <v>3189</v>
      </c>
      <c r="F898" s="40"/>
      <c r="G898" s="40" t="s">
        <v>2794</v>
      </c>
      <c r="H898" s="136" t="s">
        <v>3554</v>
      </c>
      <c r="I898" s="114">
        <v>263062.8</v>
      </c>
      <c r="J898" s="40" t="s">
        <v>1290</v>
      </c>
    </row>
    <row r="899" spans="1:10" s="6" customFormat="1" ht="38.25" x14ac:dyDescent="0.2">
      <c r="A899" s="219"/>
      <c r="B899" s="40">
        <v>48</v>
      </c>
      <c r="C899" s="152" t="s">
        <v>45</v>
      </c>
      <c r="D899" s="153" t="s">
        <v>1769</v>
      </c>
      <c r="E899" s="104" t="s">
        <v>3817</v>
      </c>
      <c r="F899" s="40"/>
      <c r="G899" s="40" t="s">
        <v>2958</v>
      </c>
      <c r="H899" s="136" t="s">
        <v>3871</v>
      </c>
      <c r="I899" s="114">
        <v>993.75</v>
      </c>
      <c r="J899" s="40" t="s">
        <v>1290</v>
      </c>
    </row>
    <row r="900" spans="1:10" s="6" customFormat="1" ht="38.25" x14ac:dyDescent="0.2">
      <c r="A900" s="219"/>
      <c r="B900" s="40">
        <v>49</v>
      </c>
      <c r="C900" s="152" t="s">
        <v>1728</v>
      </c>
      <c r="D900" s="153" t="s">
        <v>1769</v>
      </c>
      <c r="E900" s="104" t="s">
        <v>3872</v>
      </c>
      <c r="F900" s="40"/>
      <c r="G900" s="40" t="s">
        <v>2794</v>
      </c>
      <c r="H900" s="136" t="s">
        <v>3553</v>
      </c>
      <c r="I900" s="114">
        <v>9937.5499999999993</v>
      </c>
      <c r="J900" s="40" t="s">
        <v>1290</v>
      </c>
    </row>
    <row r="901" spans="1:10" s="6" customFormat="1" ht="38.25" x14ac:dyDescent="0.2">
      <c r="A901" s="219"/>
      <c r="B901" s="40">
        <v>50</v>
      </c>
      <c r="C901" s="154" t="s">
        <v>2519</v>
      </c>
      <c r="D901" s="153" t="s">
        <v>1769</v>
      </c>
      <c r="E901" s="104">
        <v>251</v>
      </c>
      <c r="F901" s="40"/>
      <c r="G901" s="40" t="s">
        <v>2823</v>
      </c>
      <c r="H901" s="136" t="s">
        <v>3873</v>
      </c>
      <c r="I901" s="114">
        <v>56.7</v>
      </c>
      <c r="J901" s="40" t="s">
        <v>1290</v>
      </c>
    </row>
    <row r="902" spans="1:10" s="6" customFormat="1" ht="38.25" x14ac:dyDescent="0.2">
      <c r="A902" s="219"/>
      <c r="B902" s="40">
        <v>51</v>
      </c>
      <c r="C902" s="152" t="s">
        <v>41</v>
      </c>
      <c r="D902" s="153" t="s">
        <v>1769</v>
      </c>
      <c r="E902" s="104" t="s">
        <v>3198</v>
      </c>
      <c r="F902" s="40"/>
      <c r="G902" s="40" t="s">
        <v>3199</v>
      </c>
      <c r="H902" s="136" t="s">
        <v>3874</v>
      </c>
      <c r="I902" s="114">
        <v>37710.33</v>
      </c>
      <c r="J902" s="40" t="s">
        <v>1290</v>
      </c>
    </row>
    <row r="903" spans="1:10" s="6" customFormat="1" ht="38.25" x14ac:dyDescent="0.2">
      <c r="A903" s="219"/>
      <c r="B903" s="40">
        <v>52</v>
      </c>
      <c r="C903" s="152" t="s">
        <v>1728</v>
      </c>
      <c r="D903" s="153" t="s">
        <v>1731</v>
      </c>
      <c r="E903" s="104"/>
      <c r="F903" s="40"/>
      <c r="G903" s="40" t="s">
        <v>3647</v>
      </c>
      <c r="H903" s="136" t="s">
        <v>3774</v>
      </c>
      <c r="I903" s="114">
        <f>8370*1.05</f>
        <v>8788.5</v>
      </c>
      <c r="J903" s="40" t="s">
        <v>1290</v>
      </c>
    </row>
    <row r="904" spans="1:10" s="6" customFormat="1" ht="38.25" x14ac:dyDescent="0.2">
      <c r="A904" s="219"/>
      <c r="B904" s="40">
        <v>53</v>
      </c>
      <c r="C904" s="152" t="s">
        <v>41</v>
      </c>
      <c r="D904" s="153" t="s">
        <v>1656</v>
      </c>
      <c r="E904" s="104">
        <v>231</v>
      </c>
      <c r="F904" s="40"/>
      <c r="G904" s="40" t="s">
        <v>2389</v>
      </c>
      <c r="H904" s="136" t="s">
        <v>3912</v>
      </c>
      <c r="I904" s="114">
        <v>15246</v>
      </c>
      <c r="J904" s="40" t="s">
        <v>1290</v>
      </c>
    </row>
    <row r="905" spans="1:10" s="6" customFormat="1" ht="38.25" x14ac:dyDescent="0.2">
      <c r="A905" s="219"/>
      <c r="B905" s="40">
        <v>54</v>
      </c>
      <c r="C905" s="152" t="s">
        <v>45</v>
      </c>
      <c r="D905" s="153" t="s">
        <v>1656</v>
      </c>
      <c r="E905" s="104" t="s">
        <v>3189</v>
      </c>
      <c r="F905" s="40"/>
      <c r="G905" s="40" t="s">
        <v>2567</v>
      </c>
      <c r="H905" s="136" t="s">
        <v>3913</v>
      </c>
      <c r="I905" s="114">
        <v>153013.67000000001</v>
      </c>
      <c r="J905" s="40" t="s">
        <v>1290</v>
      </c>
    </row>
    <row r="906" spans="1:10" s="6" customFormat="1" ht="38.25" x14ac:dyDescent="0.2">
      <c r="A906" s="219"/>
      <c r="B906" s="40">
        <v>55</v>
      </c>
      <c r="C906" s="152" t="s">
        <v>1728</v>
      </c>
      <c r="D906" s="153" t="s">
        <v>1656</v>
      </c>
      <c r="E906" s="104" t="s">
        <v>3914</v>
      </c>
      <c r="F906" s="40"/>
      <c r="G906" s="40" t="s">
        <v>2386</v>
      </c>
      <c r="H906" s="136" t="s">
        <v>3915</v>
      </c>
      <c r="I906" s="114">
        <v>21143.77</v>
      </c>
      <c r="J906" s="40" t="s">
        <v>1290</v>
      </c>
    </row>
    <row r="907" spans="1:10" s="6" customFormat="1" ht="38.25" x14ac:dyDescent="0.2">
      <c r="A907" s="219"/>
      <c r="B907" s="40">
        <v>56</v>
      </c>
      <c r="C907" s="154" t="s">
        <v>2519</v>
      </c>
      <c r="D907" s="153" t="s">
        <v>1656</v>
      </c>
      <c r="E907" s="104" t="s">
        <v>3916</v>
      </c>
      <c r="F907" s="40"/>
      <c r="G907" s="40" t="s">
        <v>2567</v>
      </c>
      <c r="H907" s="136" t="s">
        <v>3917</v>
      </c>
      <c r="I907" s="114">
        <v>493.92</v>
      </c>
      <c r="J907" s="40" t="s">
        <v>1290</v>
      </c>
    </row>
    <row r="908" spans="1:10" s="6" customFormat="1" ht="38.25" x14ac:dyDescent="0.2">
      <c r="A908" s="219"/>
      <c r="B908" s="40">
        <v>57</v>
      </c>
      <c r="C908" s="152" t="s">
        <v>2905</v>
      </c>
      <c r="D908" s="153" t="s">
        <v>1644</v>
      </c>
      <c r="E908" s="104" t="s">
        <v>2936</v>
      </c>
      <c r="F908" s="40"/>
      <c r="G908" s="40" t="s">
        <v>2958</v>
      </c>
      <c r="H908" s="136" t="s">
        <v>4003</v>
      </c>
      <c r="I908" s="114">
        <v>122896.2</v>
      </c>
      <c r="J908" s="40" t="s">
        <v>1290</v>
      </c>
    </row>
    <row r="909" spans="1:10" s="6" customFormat="1" ht="38.25" x14ac:dyDescent="0.2">
      <c r="A909" s="219"/>
      <c r="B909" s="40">
        <v>58</v>
      </c>
      <c r="C909" s="154" t="s">
        <v>2519</v>
      </c>
      <c r="D909" s="153" t="s">
        <v>1644</v>
      </c>
      <c r="E909" s="104" t="s">
        <v>4004</v>
      </c>
      <c r="F909" s="40"/>
      <c r="G909" s="40" t="s">
        <v>2858</v>
      </c>
      <c r="H909" s="136" t="s">
        <v>4005</v>
      </c>
      <c r="I909" s="114">
        <v>236835.9</v>
      </c>
      <c r="J909" s="40" t="s">
        <v>1290</v>
      </c>
    </row>
    <row r="910" spans="1:10" s="6" customFormat="1" ht="38.25" x14ac:dyDescent="0.2">
      <c r="A910" s="219"/>
      <c r="B910" s="40">
        <v>59</v>
      </c>
      <c r="C910" s="152" t="s">
        <v>1728</v>
      </c>
      <c r="D910" s="153" t="s">
        <v>1644</v>
      </c>
      <c r="E910" s="104" t="s">
        <v>3191</v>
      </c>
      <c r="F910" s="40"/>
      <c r="G910" s="40" t="s">
        <v>2524</v>
      </c>
      <c r="H910" s="136" t="s">
        <v>3192</v>
      </c>
      <c r="I910" s="114">
        <v>837566.92</v>
      </c>
      <c r="J910" s="40" t="s">
        <v>1290</v>
      </c>
    </row>
    <row r="911" spans="1:10" s="6" customFormat="1" ht="38.25" x14ac:dyDescent="0.2">
      <c r="A911" s="219"/>
      <c r="B911" s="40">
        <v>60</v>
      </c>
      <c r="C911" s="152" t="s">
        <v>41</v>
      </c>
      <c r="D911" s="153" t="s">
        <v>1644</v>
      </c>
      <c r="E911" s="104" t="s">
        <v>2901</v>
      </c>
      <c r="F911" s="40"/>
      <c r="G911" s="40" t="s">
        <v>2956</v>
      </c>
      <c r="H911" s="136" t="s">
        <v>4006</v>
      </c>
      <c r="I911" s="114">
        <v>558459.30000000005</v>
      </c>
      <c r="J911" s="40" t="s">
        <v>1290</v>
      </c>
    </row>
    <row r="912" spans="1:10" s="6" customFormat="1" ht="38.25" x14ac:dyDescent="0.2">
      <c r="A912" s="219"/>
      <c r="B912" s="40">
        <v>61</v>
      </c>
      <c r="C912" s="152" t="s">
        <v>45</v>
      </c>
      <c r="D912" s="153" t="s">
        <v>1644</v>
      </c>
      <c r="E912" s="104" t="s">
        <v>3189</v>
      </c>
      <c r="F912" s="40"/>
      <c r="G912" s="40" t="s">
        <v>3327</v>
      </c>
      <c r="H912" s="136" t="s">
        <v>4007</v>
      </c>
      <c r="I912" s="114">
        <v>1274836.5</v>
      </c>
      <c r="J912" s="40" t="s">
        <v>1290</v>
      </c>
    </row>
    <row r="913" spans="1:10" s="6" customFormat="1" ht="38.25" x14ac:dyDescent="0.2">
      <c r="A913" s="219"/>
      <c r="B913" s="40">
        <v>62</v>
      </c>
      <c r="C913" s="152" t="s">
        <v>2905</v>
      </c>
      <c r="D913" s="153" t="s">
        <v>1625</v>
      </c>
      <c r="E913" s="104" t="s">
        <v>2936</v>
      </c>
      <c r="F913" s="40"/>
      <c r="G913" s="40" t="s">
        <v>4008</v>
      </c>
      <c r="H913" s="136" t="s">
        <v>4009</v>
      </c>
      <c r="I913" s="114">
        <f>592.2+32739.84</f>
        <v>33332.04</v>
      </c>
      <c r="J913" s="40" t="s">
        <v>1290</v>
      </c>
    </row>
    <row r="914" spans="1:10" s="6" customFormat="1" ht="38.25" x14ac:dyDescent="0.2">
      <c r="A914" s="219"/>
      <c r="B914" s="40">
        <v>63</v>
      </c>
      <c r="C914" s="152" t="s">
        <v>45</v>
      </c>
      <c r="D914" s="153" t="s">
        <v>1625</v>
      </c>
      <c r="E914" s="104" t="s">
        <v>3189</v>
      </c>
      <c r="F914" s="40"/>
      <c r="G914" s="40" t="s">
        <v>3973</v>
      </c>
      <c r="H914" s="136" t="s">
        <v>4010</v>
      </c>
      <c r="I914" s="114">
        <f>99730.05+596950+204.75</f>
        <v>696884.8</v>
      </c>
      <c r="J914" s="40" t="s">
        <v>1290</v>
      </c>
    </row>
    <row r="915" spans="1:10" s="6" customFormat="1" ht="38.25" x14ac:dyDescent="0.2">
      <c r="A915" s="219"/>
      <c r="B915" s="40">
        <v>64</v>
      </c>
      <c r="C915" s="152" t="s">
        <v>1728</v>
      </c>
      <c r="D915" s="153" t="s">
        <v>1625</v>
      </c>
      <c r="E915" s="104" t="s">
        <v>4011</v>
      </c>
      <c r="F915" s="40"/>
      <c r="G915" s="40" t="s">
        <v>3978</v>
      </c>
      <c r="H915" s="136" t="s">
        <v>4012</v>
      </c>
      <c r="I915" s="114">
        <f>110604.9+66345.3+6915.3+1635.82+1420.02+167076+34177.5</f>
        <v>388174.83999999997</v>
      </c>
      <c r="J915" s="40" t="s">
        <v>1290</v>
      </c>
    </row>
    <row r="916" spans="1:10" s="6" customFormat="1" ht="38.25" x14ac:dyDescent="0.2">
      <c r="A916" s="219"/>
      <c r="B916" s="40">
        <v>65</v>
      </c>
      <c r="C916" s="154" t="s">
        <v>2519</v>
      </c>
      <c r="D916" s="153" t="s">
        <v>1625</v>
      </c>
      <c r="E916" s="104" t="s">
        <v>4013</v>
      </c>
      <c r="F916" s="40"/>
      <c r="G916" s="40" t="s">
        <v>3981</v>
      </c>
      <c r="H916" s="136" t="s">
        <v>4014</v>
      </c>
      <c r="I916" s="114">
        <f>6437.03+23975.28+11395.13+2681.28+139951.35+95697+315+945+34927.2+3482.43+262.08+5923.58+708.75</f>
        <v>326701.11000000004</v>
      </c>
      <c r="J916" s="40" t="s">
        <v>1290</v>
      </c>
    </row>
    <row r="917" spans="1:10" s="6" customFormat="1" ht="38.25" x14ac:dyDescent="0.2">
      <c r="A917" s="219"/>
      <c r="B917" s="40">
        <v>66</v>
      </c>
      <c r="C917" s="152" t="s">
        <v>41</v>
      </c>
      <c r="D917" s="153" t="s">
        <v>1625</v>
      </c>
      <c r="E917" s="104" t="s">
        <v>4015</v>
      </c>
      <c r="F917" s="40"/>
      <c r="G917" s="40" t="s">
        <v>3975</v>
      </c>
      <c r="H917" s="136" t="s">
        <v>4016</v>
      </c>
      <c r="I917" s="114">
        <f>72555+69300+70708.68+7570.5+231231</f>
        <v>451365.18</v>
      </c>
      <c r="J917" s="40" t="s">
        <v>1290</v>
      </c>
    </row>
    <row r="918" spans="1:10" s="6" customFormat="1" ht="38.25" x14ac:dyDescent="0.2">
      <c r="A918" s="219"/>
      <c r="B918" s="40">
        <v>67</v>
      </c>
      <c r="C918" s="152" t="s">
        <v>45</v>
      </c>
      <c r="D918" s="153" t="s">
        <v>4033</v>
      </c>
      <c r="E918" s="104" t="s">
        <v>3189</v>
      </c>
      <c r="F918" s="40"/>
      <c r="G918" s="40" t="s">
        <v>3477</v>
      </c>
      <c r="H918" s="136" t="s">
        <v>4046</v>
      </c>
      <c r="I918" s="114">
        <f>90*1.05</f>
        <v>94.5</v>
      </c>
      <c r="J918" s="40" t="s">
        <v>1290</v>
      </c>
    </row>
    <row r="919" spans="1:10" s="6" customFormat="1" ht="38.25" x14ac:dyDescent="0.2">
      <c r="A919" s="219"/>
      <c r="B919" s="40">
        <v>68</v>
      </c>
      <c r="C919" s="152" t="s">
        <v>45</v>
      </c>
      <c r="D919" s="153" t="s">
        <v>1637</v>
      </c>
      <c r="E919" s="104" t="s">
        <v>3189</v>
      </c>
      <c r="F919" s="40"/>
      <c r="G919" s="40" t="s">
        <v>3652</v>
      </c>
      <c r="H919" s="136" t="s">
        <v>4079</v>
      </c>
      <c r="I919" s="114">
        <v>219553.95</v>
      </c>
      <c r="J919" s="40" t="s">
        <v>1290</v>
      </c>
    </row>
    <row r="920" spans="1:10" s="6" customFormat="1" ht="38.25" x14ac:dyDescent="0.2">
      <c r="A920" s="219"/>
      <c r="B920" s="40">
        <v>69</v>
      </c>
      <c r="C920" s="152" t="s">
        <v>1728</v>
      </c>
      <c r="D920" s="153" t="s">
        <v>1637</v>
      </c>
      <c r="E920" s="104" t="s">
        <v>4080</v>
      </c>
      <c r="F920" s="40"/>
      <c r="G920" s="40" t="s">
        <v>3477</v>
      </c>
      <c r="H920" s="136" t="s">
        <v>4081</v>
      </c>
      <c r="I920" s="114">
        <v>159453.63</v>
      </c>
      <c r="J920" s="40" t="s">
        <v>1290</v>
      </c>
    </row>
    <row r="921" spans="1:10" s="6" customFormat="1" ht="38.25" x14ac:dyDescent="0.2">
      <c r="A921" s="219"/>
      <c r="B921" s="40">
        <v>70</v>
      </c>
      <c r="C921" s="152" t="s">
        <v>2905</v>
      </c>
      <c r="D921" s="153" t="s">
        <v>1637</v>
      </c>
      <c r="E921" s="104" t="s">
        <v>2936</v>
      </c>
      <c r="F921" s="40"/>
      <c r="G921" s="40" t="s">
        <v>3248</v>
      </c>
      <c r="H921" s="136" t="s">
        <v>4082</v>
      </c>
      <c r="I921" s="114">
        <v>662.84</v>
      </c>
      <c r="J921" s="40" t="s">
        <v>1290</v>
      </c>
    </row>
    <row r="922" spans="1:10" s="6" customFormat="1" ht="38.25" x14ac:dyDescent="0.2">
      <c r="A922" s="219"/>
      <c r="B922" s="40">
        <v>71</v>
      </c>
      <c r="C922" s="152" t="s">
        <v>41</v>
      </c>
      <c r="D922" s="153" t="s">
        <v>1637</v>
      </c>
      <c r="E922" s="104" t="s">
        <v>2901</v>
      </c>
      <c r="F922" s="40"/>
      <c r="G922" s="40" t="s">
        <v>3722</v>
      </c>
      <c r="H922" s="136" t="s">
        <v>4083</v>
      </c>
      <c r="I922" s="114">
        <v>118736.94</v>
      </c>
      <c r="J922" s="40" t="s">
        <v>1290</v>
      </c>
    </row>
    <row r="923" spans="1:10" s="6" customFormat="1" ht="38.25" x14ac:dyDescent="0.2">
      <c r="A923" s="220"/>
      <c r="B923" s="40">
        <v>72</v>
      </c>
      <c r="C923" s="154" t="s">
        <v>2519</v>
      </c>
      <c r="D923" s="153" t="s">
        <v>1637</v>
      </c>
      <c r="E923" s="104" t="s">
        <v>4084</v>
      </c>
      <c r="F923" s="40"/>
      <c r="G923" s="40" t="s">
        <v>4068</v>
      </c>
      <c r="H923" s="136" t="s">
        <v>4014</v>
      </c>
      <c r="I923" s="114">
        <v>98397.6</v>
      </c>
      <c r="J923" s="40" t="s">
        <v>1290</v>
      </c>
    </row>
    <row r="924" spans="1:10" s="6" customFormat="1" ht="63.75" x14ac:dyDescent="0.2">
      <c r="A924" s="231" t="s">
        <v>4159</v>
      </c>
      <c r="B924" s="40">
        <v>1</v>
      </c>
      <c r="C924" s="152" t="s">
        <v>1728</v>
      </c>
      <c r="D924" s="153" t="s">
        <v>2954</v>
      </c>
      <c r="E924" s="104" t="s">
        <v>2969</v>
      </c>
      <c r="F924" s="40"/>
      <c r="G924" s="40" t="s">
        <v>2950</v>
      </c>
      <c r="H924" s="136" t="s">
        <v>2970</v>
      </c>
      <c r="I924" s="114">
        <f>(120+18.5+28.5+16.52+88+454.2+400+810+308+85.6+330)*1.05</f>
        <v>2792.2860000000005</v>
      </c>
      <c r="J924" s="40" t="s">
        <v>1290</v>
      </c>
    </row>
    <row r="925" spans="1:10" s="6" customFormat="1" ht="63.75" x14ac:dyDescent="0.2">
      <c r="A925" s="232"/>
      <c r="B925" s="40">
        <v>2</v>
      </c>
      <c r="C925" s="152" t="s">
        <v>45</v>
      </c>
      <c r="D925" s="153" t="s">
        <v>2954</v>
      </c>
      <c r="E925" s="104" t="s">
        <v>2971</v>
      </c>
      <c r="F925" s="40"/>
      <c r="G925" s="40" t="s">
        <v>2950</v>
      </c>
      <c r="H925" s="136" t="s">
        <v>2972</v>
      </c>
      <c r="I925" s="114">
        <v>27469.7</v>
      </c>
      <c r="J925" s="40" t="s">
        <v>1290</v>
      </c>
    </row>
    <row r="926" spans="1:10" s="6" customFormat="1" ht="63.75" x14ac:dyDescent="0.2">
      <c r="A926" s="232"/>
      <c r="B926" s="40">
        <v>3</v>
      </c>
      <c r="C926" s="154" t="s">
        <v>2519</v>
      </c>
      <c r="D926" s="153" t="s">
        <v>2954</v>
      </c>
      <c r="E926" s="104" t="s">
        <v>2973</v>
      </c>
      <c r="F926" s="40"/>
      <c r="G926" s="40" t="s">
        <v>2950</v>
      </c>
      <c r="H926" s="136" t="s">
        <v>2974</v>
      </c>
      <c r="I926" s="114">
        <v>29915.1</v>
      </c>
      <c r="J926" s="40" t="s">
        <v>1290</v>
      </c>
    </row>
    <row r="927" spans="1:10" s="6" customFormat="1" ht="63.75" x14ac:dyDescent="0.2">
      <c r="A927" s="232"/>
      <c r="B927" s="40">
        <v>4</v>
      </c>
      <c r="C927" s="152" t="s">
        <v>41</v>
      </c>
      <c r="D927" s="153" t="s">
        <v>2954</v>
      </c>
      <c r="E927" s="104" t="s">
        <v>2975</v>
      </c>
      <c r="F927" s="40"/>
      <c r="G927" s="40" t="s">
        <v>2950</v>
      </c>
      <c r="H927" s="136" t="s">
        <v>2976</v>
      </c>
      <c r="I927" s="114">
        <v>14555.9</v>
      </c>
      <c r="J927" s="40" t="s">
        <v>1290</v>
      </c>
    </row>
    <row r="928" spans="1:10" s="6" customFormat="1" ht="51" x14ac:dyDescent="0.2">
      <c r="A928" s="232"/>
      <c r="B928" s="40">
        <v>5</v>
      </c>
      <c r="C928" s="152" t="s">
        <v>307</v>
      </c>
      <c r="D928" s="153" t="s">
        <v>2954</v>
      </c>
      <c r="E928" s="104" t="s">
        <v>3000</v>
      </c>
      <c r="F928" s="40"/>
      <c r="G928" s="40" t="s">
        <v>2950</v>
      </c>
      <c r="H928" s="136" t="s">
        <v>2999</v>
      </c>
      <c r="I928" s="114">
        <v>947.94</v>
      </c>
      <c r="J928" s="40" t="s">
        <v>1290</v>
      </c>
    </row>
    <row r="929" spans="1:10" s="6" customFormat="1" ht="38.25" x14ac:dyDescent="0.2">
      <c r="A929" s="232"/>
      <c r="B929" s="40">
        <v>6</v>
      </c>
      <c r="C929" s="152" t="s">
        <v>148</v>
      </c>
      <c r="D929" s="153" t="s">
        <v>2954</v>
      </c>
      <c r="E929" s="104" t="s">
        <v>2548</v>
      </c>
      <c r="F929" s="40"/>
      <c r="G929" s="40" t="s">
        <v>2950</v>
      </c>
      <c r="H929" s="136" t="s">
        <v>3001</v>
      </c>
      <c r="I929" s="114">
        <v>5218.5</v>
      </c>
      <c r="J929" s="40" t="s">
        <v>1290</v>
      </c>
    </row>
    <row r="930" spans="1:10" s="6" customFormat="1" ht="51" x14ac:dyDescent="0.2">
      <c r="A930" s="232"/>
      <c r="B930" s="40">
        <v>7</v>
      </c>
      <c r="C930" s="152" t="s">
        <v>1728</v>
      </c>
      <c r="D930" s="153" t="s">
        <v>2954</v>
      </c>
      <c r="E930" s="104" t="s">
        <v>3923</v>
      </c>
      <c r="F930" s="40"/>
      <c r="G930" s="40" t="s">
        <v>3477</v>
      </c>
      <c r="H930" s="136" t="s">
        <v>3924</v>
      </c>
      <c r="I930" s="114">
        <v>29484.81</v>
      </c>
      <c r="J930" s="40" t="s">
        <v>1290</v>
      </c>
    </row>
    <row r="931" spans="1:10" s="6" customFormat="1" ht="51" x14ac:dyDescent="0.2">
      <c r="A931" s="232"/>
      <c r="B931" s="40">
        <v>8</v>
      </c>
      <c r="C931" s="152" t="s">
        <v>45</v>
      </c>
      <c r="D931" s="153" t="s">
        <v>2954</v>
      </c>
      <c r="E931" s="104" t="s">
        <v>3925</v>
      </c>
      <c r="F931" s="40"/>
      <c r="G931" s="40" t="s">
        <v>3477</v>
      </c>
      <c r="H931" s="136" t="s">
        <v>3926</v>
      </c>
      <c r="I931" s="114">
        <v>10573.88</v>
      </c>
      <c r="J931" s="40" t="s">
        <v>1290</v>
      </c>
    </row>
    <row r="932" spans="1:10" s="6" customFormat="1" ht="89.25" x14ac:dyDescent="0.2">
      <c r="A932" s="232"/>
      <c r="B932" s="40">
        <v>9</v>
      </c>
      <c r="C932" s="154" t="s">
        <v>2519</v>
      </c>
      <c r="D932" s="153" t="s">
        <v>2954</v>
      </c>
      <c r="E932" s="104" t="s">
        <v>3927</v>
      </c>
      <c r="F932" s="40"/>
      <c r="G932" s="40" t="s">
        <v>3477</v>
      </c>
      <c r="H932" s="136" t="s">
        <v>3928</v>
      </c>
      <c r="I932" s="114">
        <v>20768.240000000002</v>
      </c>
      <c r="J932" s="40" t="s">
        <v>1290</v>
      </c>
    </row>
    <row r="933" spans="1:10" ht="51" x14ac:dyDescent="0.2">
      <c r="A933" s="232"/>
      <c r="B933" s="54">
        <v>10</v>
      </c>
      <c r="C933" s="96" t="s">
        <v>41</v>
      </c>
      <c r="D933" s="102" t="s">
        <v>2954</v>
      </c>
      <c r="E933" s="55" t="s">
        <v>3929</v>
      </c>
      <c r="F933" s="54"/>
      <c r="G933" s="54" t="s">
        <v>3477</v>
      </c>
      <c r="H933" s="88" t="s">
        <v>3930</v>
      </c>
      <c r="I933" s="56">
        <v>4166.82</v>
      </c>
      <c r="J933" s="54" t="s">
        <v>1290</v>
      </c>
    </row>
    <row r="934" spans="1:10" ht="51" x14ac:dyDescent="0.2">
      <c r="A934" s="232"/>
      <c r="B934" s="54">
        <v>11</v>
      </c>
      <c r="C934" s="95" t="s">
        <v>53</v>
      </c>
      <c r="D934" s="102" t="s">
        <v>2954</v>
      </c>
      <c r="E934" s="55" t="s">
        <v>3931</v>
      </c>
      <c r="F934" s="54"/>
      <c r="G934" s="54" t="s">
        <v>3477</v>
      </c>
      <c r="H934" s="88" t="s">
        <v>3932</v>
      </c>
      <c r="I934" s="56">
        <v>375.85</v>
      </c>
      <c r="J934" s="54" t="s">
        <v>1290</v>
      </c>
    </row>
    <row r="935" spans="1:10" ht="51" x14ac:dyDescent="0.2">
      <c r="A935" s="233"/>
      <c r="B935" s="54">
        <v>12</v>
      </c>
      <c r="C935" s="95" t="s">
        <v>148</v>
      </c>
      <c r="D935" s="102" t="s">
        <v>2954</v>
      </c>
      <c r="E935" s="55" t="s">
        <v>3933</v>
      </c>
      <c r="F935" s="54"/>
      <c r="G935" s="54" t="s">
        <v>3477</v>
      </c>
      <c r="H935" s="88" t="s">
        <v>3934</v>
      </c>
      <c r="I935" s="56">
        <v>1463.41</v>
      </c>
      <c r="J935" s="54" t="s">
        <v>1290</v>
      </c>
    </row>
    <row r="936" spans="1:10" s="6" customFormat="1" ht="38.25" x14ac:dyDescent="0.2">
      <c r="A936" s="218" t="s">
        <v>4165</v>
      </c>
      <c r="B936" s="40">
        <v>1</v>
      </c>
      <c r="C936" s="152" t="s">
        <v>78</v>
      </c>
      <c r="D936" s="153" t="s">
        <v>1618</v>
      </c>
      <c r="E936" s="104">
        <v>2</v>
      </c>
      <c r="F936" s="40"/>
      <c r="G936" s="40" t="s">
        <v>2956</v>
      </c>
      <c r="H936" s="136" t="s">
        <v>2967</v>
      </c>
      <c r="I936" s="114">
        <v>94374</v>
      </c>
      <c r="J936" s="40" t="s">
        <v>759</v>
      </c>
    </row>
    <row r="937" spans="1:10" s="6" customFormat="1" ht="38.25" x14ac:dyDescent="0.2">
      <c r="A937" s="219"/>
      <c r="B937" s="40">
        <v>2</v>
      </c>
      <c r="C937" s="152" t="s">
        <v>83</v>
      </c>
      <c r="D937" s="153" t="s">
        <v>1618</v>
      </c>
      <c r="E937" s="104">
        <v>3</v>
      </c>
      <c r="F937" s="40"/>
      <c r="G937" s="40" t="s">
        <v>2956</v>
      </c>
      <c r="H937" s="136" t="s">
        <v>2968</v>
      </c>
      <c r="I937" s="114">
        <v>95690.94</v>
      </c>
      <c r="J937" s="40" t="s">
        <v>759</v>
      </c>
    </row>
    <row r="938" spans="1:10" s="6" customFormat="1" ht="38.25" x14ac:dyDescent="0.2">
      <c r="A938" s="219"/>
      <c r="B938" s="40">
        <v>3</v>
      </c>
      <c r="C938" s="152" t="s">
        <v>78</v>
      </c>
      <c r="D938" s="153" t="s">
        <v>2788</v>
      </c>
      <c r="E938" s="104" t="s">
        <v>3234</v>
      </c>
      <c r="F938" s="40"/>
      <c r="G938" s="40" t="s">
        <v>2879</v>
      </c>
      <c r="H938" s="136" t="s">
        <v>3235</v>
      </c>
      <c r="I938" s="114">
        <v>2091385.91</v>
      </c>
      <c r="J938" s="40" t="s">
        <v>759</v>
      </c>
    </row>
    <row r="939" spans="1:10" s="6" customFormat="1" ht="38.25" x14ac:dyDescent="0.2">
      <c r="A939" s="219"/>
      <c r="B939" s="40">
        <v>4</v>
      </c>
      <c r="C939" s="152" t="s">
        <v>761</v>
      </c>
      <c r="D939" s="153" t="s">
        <v>2788</v>
      </c>
      <c r="E939" s="104" t="s">
        <v>3236</v>
      </c>
      <c r="F939" s="40"/>
      <c r="G939" s="40" t="s">
        <v>3196</v>
      </c>
      <c r="H939" s="136" t="s">
        <v>3197</v>
      </c>
      <c r="I939" s="114">
        <v>614912.6</v>
      </c>
      <c r="J939" s="40" t="s">
        <v>759</v>
      </c>
    </row>
    <row r="940" spans="1:10" s="6" customFormat="1" ht="38.25" x14ac:dyDescent="0.2">
      <c r="A940" s="219"/>
      <c r="B940" s="40">
        <v>5</v>
      </c>
      <c r="C940" s="152" t="s">
        <v>83</v>
      </c>
      <c r="D940" s="153" t="s">
        <v>2788</v>
      </c>
      <c r="E940" s="104" t="s">
        <v>3237</v>
      </c>
      <c r="F940" s="40"/>
      <c r="G940" s="40" t="s">
        <v>3199</v>
      </c>
      <c r="H940" s="136" t="s">
        <v>3200</v>
      </c>
      <c r="I940" s="114">
        <v>696244.4</v>
      </c>
      <c r="J940" s="40" t="s">
        <v>759</v>
      </c>
    </row>
    <row r="941" spans="1:10" s="6" customFormat="1" ht="63.75" x14ac:dyDescent="0.2">
      <c r="A941" s="219"/>
      <c r="B941" s="40">
        <v>6</v>
      </c>
      <c r="C941" s="152" t="s">
        <v>761</v>
      </c>
      <c r="D941" s="153" t="s">
        <v>1641</v>
      </c>
      <c r="E941" s="104" t="s">
        <v>3236</v>
      </c>
      <c r="F941" s="40"/>
      <c r="G941" s="40" t="s">
        <v>3199</v>
      </c>
      <c r="H941" s="136" t="s">
        <v>3415</v>
      </c>
      <c r="I941" s="114">
        <v>483657.3</v>
      </c>
      <c r="J941" s="40" t="s">
        <v>759</v>
      </c>
    </row>
    <row r="942" spans="1:10" s="6" customFormat="1" ht="51" x14ac:dyDescent="0.2">
      <c r="A942" s="219"/>
      <c r="B942" s="40">
        <v>7</v>
      </c>
      <c r="C942" s="152" t="s">
        <v>83</v>
      </c>
      <c r="D942" s="153" t="s">
        <v>1641</v>
      </c>
      <c r="E942" s="104" t="s">
        <v>3237</v>
      </c>
      <c r="F942" s="40"/>
      <c r="G942" s="40" t="s">
        <v>3199</v>
      </c>
      <c r="H942" s="136" t="s">
        <v>3416</v>
      </c>
      <c r="I942" s="114">
        <v>631670.69999999995</v>
      </c>
      <c r="J942" s="40" t="s">
        <v>759</v>
      </c>
    </row>
    <row r="943" spans="1:10" s="6" customFormat="1" ht="76.5" x14ac:dyDescent="0.2">
      <c r="A943" s="219"/>
      <c r="B943" s="40">
        <v>8</v>
      </c>
      <c r="C943" s="152" t="s">
        <v>78</v>
      </c>
      <c r="D943" s="153" t="s">
        <v>1641</v>
      </c>
      <c r="E943" s="104" t="s">
        <v>3417</v>
      </c>
      <c r="F943" s="40"/>
      <c r="G943" s="40" t="s">
        <v>3199</v>
      </c>
      <c r="H943" s="136" t="s">
        <v>3418</v>
      </c>
      <c r="I943" s="114">
        <v>917153.23</v>
      </c>
      <c r="J943" s="40" t="s">
        <v>759</v>
      </c>
    </row>
    <row r="944" spans="1:10" s="6" customFormat="1" ht="63.75" x14ac:dyDescent="0.2">
      <c r="A944" s="219"/>
      <c r="B944" s="40">
        <v>9</v>
      </c>
      <c r="C944" s="152" t="s">
        <v>761</v>
      </c>
      <c r="D944" s="153" t="s">
        <v>2154</v>
      </c>
      <c r="E944" s="104" t="s">
        <v>3809</v>
      </c>
      <c r="F944" s="40"/>
      <c r="G944" s="40" t="s">
        <v>3652</v>
      </c>
      <c r="H944" s="136" t="s">
        <v>3813</v>
      </c>
      <c r="I944" s="114">
        <f>(69000+114840+48969+60960+70360+135240+204180+123090+104680)*1.05</f>
        <v>977884.95000000007</v>
      </c>
      <c r="J944" s="40" t="s">
        <v>759</v>
      </c>
    </row>
    <row r="945" spans="1:10" s="6" customFormat="1" ht="38.25" x14ac:dyDescent="0.2">
      <c r="A945" s="219"/>
      <c r="B945" s="40">
        <v>10</v>
      </c>
      <c r="C945" s="152" t="s">
        <v>78</v>
      </c>
      <c r="D945" s="153" t="s">
        <v>2154</v>
      </c>
      <c r="E945" s="104" t="s">
        <v>3810</v>
      </c>
      <c r="F945" s="40"/>
      <c r="G945" s="40" t="s">
        <v>3811</v>
      </c>
      <c r="H945" s="136" t="s">
        <v>3812</v>
      </c>
      <c r="I945" s="114">
        <f>(76970+153936+137353+195162+189524+115222.5+90385.5+68480+58352+56300+13046+89630+33718+39354)*1.05</f>
        <v>1383304.6500000001</v>
      </c>
      <c r="J945" s="40" t="s">
        <v>759</v>
      </c>
    </row>
    <row r="946" spans="1:10" s="6" customFormat="1" ht="51" x14ac:dyDescent="0.2">
      <c r="A946" s="219"/>
      <c r="B946" s="40">
        <v>11</v>
      </c>
      <c r="C946" s="152" t="s">
        <v>83</v>
      </c>
      <c r="D946" s="153" t="s">
        <v>2154</v>
      </c>
      <c r="E946" s="104" t="s">
        <v>3237</v>
      </c>
      <c r="F946" s="40"/>
      <c r="G946" s="40" t="s">
        <v>3652</v>
      </c>
      <c r="H946" s="136" t="s">
        <v>3814</v>
      </c>
      <c r="I946" s="114">
        <f>(138871.2+218544.8+215933.4+293407+322935.4+272829.96)*1.05</f>
        <v>1535647.848</v>
      </c>
      <c r="J946" s="40" t="s">
        <v>759</v>
      </c>
    </row>
    <row r="947" spans="1:10" s="6" customFormat="1" ht="38.25" x14ac:dyDescent="0.2">
      <c r="A947" s="219"/>
      <c r="B947" s="40">
        <v>12</v>
      </c>
      <c r="C947" s="152" t="s">
        <v>83</v>
      </c>
      <c r="D947" s="153" t="s">
        <v>1769</v>
      </c>
      <c r="E947" s="104" t="s">
        <v>3237</v>
      </c>
      <c r="F947" s="40"/>
      <c r="G947" s="40" t="s">
        <v>3468</v>
      </c>
      <c r="H947" s="136" t="s">
        <v>3847</v>
      </c>
      <c r="I947" s="114">
        <v>261651.18</v>
      </c>
      <c r="J947" s="40" t="s">
        <v>759</v>
      </c>
    </row>
    <row r="948" spans="1:10" s="6" customFormat="1" ht="38.25" x14ac:dyDescent="0.2">
      <c r="A948" s="219"/>
      <c r="B948" s="40">
        <v>13</v>
      </c>
      <c r="C948" s="152" t="s">
        <v>761</v>
      </c>
      <c r="D948" s="153" t="s">
        <v>1769</v>
      </c>
      <c r="E948" s="104" t="s">
        <v>3848</v>
      </c>
      <c r="F948" s="40"/>
      <c r="G948" s="40" t="s">
        <v>3196</v>
      </c>
      <c r="H948" s="136" t="s">
        <v>3849</v>
      </c>
      <c r="I948" s="114">
        <v>155466.15</v>
      </c>
      <c r="J948" s="40" t="s">
        <v>759</v>
      </c>
    </row>
    <row r="949" spans="1:10" s="6" customFormat="1" ht="38.25" x14ac:dyDescent="0.2">
      <c r="A949" s="219"/>
      <c r="B949" s="40">
        <v>14</v>
      </c>
      <c r="C949" s="152" t="s">
        <v>78</v>
      </c>
      <c r="D949" s="153" t="s">
        <v>1769</v>
      </c>
      <c r="E949" s="104" t="s">
        <v>3850</v>
      </c>
      <c r="F949" s="40"/>
      <c r="G949" s="40" t="s">
        <v>3196</v>
      </c>
      <c r="H949" s="136" t="s">
        <v>3851</v>
      </c>
      <c r="I949" s="114">
        <v>552750.44999999995</v>
      </c>
      <c r="J949" s="40" t="s">
        <v>759</v>
      </c>
    </row>
    <row r="950" spans="1:10" s="6" customFormat="1" ht="38.25" x14ac:dyDescent="0.2">
      <c r="A950" s="219"/>
      <c r="B950" s="40">
        <v>15</v>
      </c>
      <c r="C950" s="152" t="s">
        <v>78</v>
      </c>
      <c r="D950" s="153" t="s">
        <v>4030</v>
      </c>
      <c r="E950" s="104" t="s">
        <v>4031</v>
      </c>
      <c r="F950" s="40"/>
      <c r="G950" s="40" t="s">
        <v>3652</v>
      </c>
      <c r="H950" s="136" t="s">
        <v>4032</v>
      </c>
      <c r="I950" s="114">
        <f>263025+97303.5+84514.5+9222.15</f>
        <v>454065.15</v>
      </c>
      <c r="J950" s="40" t="s">
        <v>759</v>
      </c>
    </row>
    <row r="951" spans="1:10" s="6" customFormat="1" ht="38.25" x14ac:dyDescent="0.2">
      <c r="A951" s="219"/>
      <c r="B951" s="40">
        <v>16</v>
      </c>
      <c r="C951" s="152" t="s">
        <v>78</v>
      </c>
      <c r="D951" s="153" t="s">
        <v>1637</v>
      </c>
      <c r="E951" s="104" t="s">
        <v>4111</v>
      </c>
      <c r="F951" s="40"/>
      <c r="G951" s="40" t="s">
        <v>3981</v>
      </c>
      <c r="H951" s="136" t="s">
        <v>4112</v>
      </c>
      <c r="I951" s="114">
        <v>885049.2</v>
      </c>
      <c r="J951" s="40" t="s">
        <v>759</v>
      </c>
    </row>
    <row r="952" spans="1:10" s="6" customFormat="1" ht="38.25" x14ac:dyDescent="0.2">
      <c r="A952" s="219"/>
      <c r="B952" s="40">
        <v>17</v>
      </c>
      <c r="C952" s="152" t="s">
        <v>761</v>
      </c>
      <c r="D952" s="153" t="s">
        <v>1625</v>
      </c>
      <c r="E952" s="104" t="s">
        <v>3236</v>
      </c>
      <c r="F952" s="40"/>
      <c r="G952" s="40" t="s">
        <v>3248</v>
      </c>
      <c r="H952" s="136" t="s">
        <v>4115</v>
      </c>
      <c r="I952" s="114">
        <f>36225+663201+45465+257087.25+320040+73878+177502.5+178657.5+388815+54957</f>
        <v>2195828.25</v>
      </c>
      <c r="J952" s="40" t="s">
        <v>759</v>
      </c>
    </row>
    <row r="953" spans="1:10" s="6" customFormat="1" ht="38.25" x14ac:dyDescent="0.2">
      <c r="A953" s="219"/>
      <c r="B953" s="40">
        <v>18</v>
      </c>
      <c r="C953" s="152" t="s">
        <v>78</v>
      </c>
      <c r="D953" s="153" t="s">
        <v>1625</v>
      </c>
      <c r="E953" s="104" t="s">
        <v>4116</v>
      </c>
      <c r="F953" s="40"/>
      <c r="G953" s="40" t="s">
        <v>3248</v>
      </c>
      <c r="H953" s="136" t="s">
        <v>4117</v>
      </c>
      <c r="I953" s="114">
        <f>539280+76587+39606+886725+102737.25+47055.75+177019.5+303025.8+854142.98+120983.63+511111.13+99501.15+628684.88+164085.08+66572.63+134694+121227.75+5551.1+1828.05</f>
        <v>4880418.6799999988</v>
      </c>
      <c r="J953" s="40" t="s">
        <v>759</v>
      </c>
    </row>
    <row r="954" spans="1:10" s="6" customFormat="1" ht="38.25" x14ac:dyDescent="0.2">
      <c r="A954" s="220"/>
      <c r="B954" s="40">
        <v>19</v>
      </c>
      <c r="C954" s="152" t="s">
        <v>83</v>
      </c>
      <c r="D954" s="153" t="s">
        <v>1625</v>
      </c>
      <c r="E954" s="104" t="s">
        <v>3237</v>
      </c>
      <c r="F954" s="40"/>
      <c r="G954" s="40" t="s">
        <v>3248</v>
      </c>
      <c r="H954" s="136" t="s">
        <v>4118</v>
      </c>
      <c r="I954" s="114">
        <f>109361.07+114736.02+104867.23+61615.47+33938.09+95471.59</f>
        <v>519989.47</v>
      </c>
      <c r="J954" s="40" t="s">
        <v>759</v>
      </c>
    </row>
    <row r="955" spans="1:10" s="6" customFormat="1" ht="38.25" x14ac:dyDescent="0.2">
      <c r="A955" s="227" t="s">
        <v>4166</v>
      </c>
      <c r="B955" s="40">
        <v>1</v>
      </c>
      <c r="C955" s="152" t="s">
        <v>1728</v>
      </c>
      <c r="D955" s="153" t="s">
        <v>2788</v>
      </c>
      <c r="E955" s="104" t="s">
        <v>3241</v>
      </c>
      <c r="F955" s="40"/>
      <c r="G955" s="40" t="s">
        <v>3242</v>
      </c>
      <c r="H955" s="104" t="s">
        <v>3243</v>
      </c>
      <c r="I955" s="114">
        <v>1928.43</v>
      </c>
      <c r="J955" s="40" t="s">
        <v>1290</v>
      </c>
    </row>
    <row r="956" spans="1:10" s="6" customFormat="1" ht="38.25" x14ac:dyDescent="0.2">
      <c r="A956" s="227"/>
      <c r="B956" s="40">
        <v>2</v>
      </c>
      <c r="C956" s="152" t="s">
        <v>45</v>
      </c>
      <c r="D956" s="153" t="s">
        <v>2788</v>
      </c>
      <c r="E956" s="104" t="s">
        <v>3244</v>
      </c>
      <c r="F956" s="40"/>
      <c r="G956" s="40" t="s">
        <v>3245</v>
      </c>
      <c r="H956" s="104" t="s">
        <v>3246</v>
      </c>
      <c r="I956" s="114">
        <v>5945.35</v>
      </c>
      <c r="J956" s="40" t="s">
        <v>1290</v>
      </c>
    </row>
    <row r="957" spans="1:10" s="6" customFormat="1" ht="38.25" x14ac:dyDescent="0.2">
      <c r="A957" s="227"/>
      <c r="B957" s="40">
        <v>3</v>
      </c>
      <c r="C957" s="152" t="s">
        <v>41</v>
      </c>
      <c r="D957" s="153" t="s">
        <v>2788</v>
      </c>
      <c r="E957" s="104" t="s">
        <v>3247</v>
      </c>
      <c r="F957" s="40"/>
      <c r="G957" s="40" t="s">
        <v>3248</v>
      </c>
      <c r="H957" s="104" t="s">
        <v>3249</v>
      </c>
      <c r="I957" s="114">
        <v>21142.799999999999</v>
      </c>
      <c r="J957" s="40" t="s">
        <v>1290</v>
      </c>
    </row>
    <row r="958" spans="1:10" s="6" customFormat="1" ht="38.25" x14ac:dyDescent="0.2">
      <c r="A958" s="227"/>
      <c r="B958" s="40">
        <v>4</v>
      </c>
      <c r="C958" s="152" t="s">
        <v>148</v>
      </c>
      <c r="D958" s="153" t="s">
        <v>2788</v>
      </c>
      <c r="E958" s="104" t="s">
        <v>3250</v>
      </c>
      <c r="F958" s="40"/>
      <c r="G958" s="40" t="s">
        <v>3251</v>
      </c>
      <c r="H958" s="104" t="s">
        <v>3252</v>
      </c>
      <c r="I958" s="114">
        <v>2677.29</v>
      </c>
      <c r="J958" s="40" t="s">
        <v>1290</v>
      </c>
    </row>
    <row r="959" spans="1:10" s="6" customFormat="1" ht="38.25" x14ac:dyDescent="0.2">
      <c r="A959" s="227"/>
      <c r="B959" s="40">
        <v>5</v>
      </c>
      <c r="C959" s="154" t="s">
        <v>2519</v>
      </c>
      <c r="D959" s="153" t="s">
        <v>2788</v>
      </c>
      <c r="E959" s="104" t="s">
        <v>3253</v>
      </c>
      <c r="F959" s="40"/>
      <c r="G959" s="40" t="s">
        <v>3248</v>
      </c>
      <c r="H959" s="104" t="s">
        <v>3249</v>
      </c>
      <c r="I959" s="114">
        <v>3873.45</v>
      </c>
      <c r="J959" s="40" t="s">
        <v>1290</v>
      </c>
    </row>
    <row r="960" spans="1:10" s="6" customFormat="1" ht="38.25" x14ac:dyDescent="0.2">
      <c r="A960" s="227"/>
      <c r="B960" s="40">
        <v>6</v>
      </c>
      <c r="C960" s="152" t="s">
        <v>41</v>
      </c>
      <c r="D960" s="153" t="s">
        <v>3270</v>
      </c>
      <c r="E960" s="104"/>
      <c r="F960" s="40"/>
      <c r="G960" s="40" t="s">
        <v>2958</v>
      </c>
      <c r="H960" s="104" t="s">
        <v>3271</v>
      </c>
      <c r="I960" s="114" t="s">
        <v>3272</v>
      </c>
      <c r="J960" s="40" t="s">
        <v>1290</v>
      </c>
    </row>
    <row r="961" spans="1:10" s="6" customFormat="1" ht="38.25" x14ac:dyDescent="0.2">
      <c r="A961" s="227"/>
      <c r="B961" s="40">
        <v>7</v>
      </c>
      <c r="C961" s="152" t="s">
        <v>1728</v>
      </c>
      <c r="D961" s="153" t="s">
        <v>3334</v>
      </c>
      <c r="E961" s="104" t="s">
        <v>3361</v>
      </c>
      <c r="F961" s="40"/>
      <c r="G961" s="40" t="s">
        <v>3279</v>
      </c>
      <c r="H961" s="104" t="s">
        <v>3362</v>
      </c>
      <c r="I961" s="114">
        <f>(46+243)*1.25</f>
        <v>361.25</v>
      </c>
      <c r="J961" s="40" t="s">
        <v>1290</v>
      </c>
    </row>
    <row r="962" spans="1:10" s="6" customFormat="1" ht="38.25" x14ac:dyDescent="0.2">
      <c r="A962" s="227"/>
      <c r="B962" s="40">
        <v>8</v>
      </c>
      <c r="C962" s="152" t="s">
        <v>45</v>
      </c>
      <c r="D962" s="153" t="s">
        <v>3334</v>
      </c>
      <c r="E962" s="104" t="s">
        <v>3244</v>
      </c>
      <c r="F962" s="40"/>
      <c r="G962" s="40" t="s">
        <v>3279</v>
      </c>
      <c r="H962" s="104" t="s">
        <v>3363</v>
      </c>
      <c r="I962" s="114">
        <f>(132.72+296+54+19620)*1.25</f>
        <v>25128.400000000001</v>
      </c>
      <c r="J962" s="40" t="s">
        <v>1290</v>
      </c>
    </row>
    <row r="963" spans="1:10" s="6" customFormat="1" ht="38.25" x14ac:dyDescent="0.2">
      <c r="A963" s="227"/>
      <c r="B963" s="40">
        <v>9</v>
      </c>
      <c r="C963" s="152" t="s">
        <v>41</v>
      </c>
      <c r="D963" s="153" t="s">
        <v>3334</v>
      </c>
      <c r="E963" s="104" t="s">
        <v>3364</v>
      </c>
      <c r="F963" s="40"/>
      <c r="G963" s="40" t="s">
        <v>3279</v>
      </c>
      <c r="H963" s="104" t="s">
        <v>3365</v>
      </c>
      <c r="I963" s="114">
        <f>(90+81+2500+432+2208)*1.25</f>
        <v>6638.75</v>
      </c>
      <c r="J963" s="40" t="s">
        <v>1290</v>
      </c>
    </row>
    <row r="964" spans="1:10" s="6" customFormat="1" ht="38.25" x14ac:dyDescent="0.2">
      <c r="A964" s="227"/>
      <c r="B964" s="40">
        <v>10</v>
      </c>
      <c r="C964" s="152" t="s">
        <v>148</v>
      </c>
      <c r="D964" s="153" t="s">
        <v>3334</v>
      </c>
      <c r="E964" s="104" t="s">
        <v>3366</v>
      </c>
      <c r="F964" s="40"/>
      <c r="G964" s="40" t="s">
        <v>3279</v>
      </c>
      <c r="H964" s="104" t="s">
        <v>3367</v>
      </c>
      <c r="I964" s="114">
        <f>(53.2+46.5)*1.25</f>
        <v>124.625</v>
      </c>
      <c r="J964" s="40" t="s">
        <v>1290</v>
      </c>
    </row>
    <row r="965" spans="1:10" s="6" customFormat="1" ht="38.25" x14ac:dyDescent="0.2">
      <c r="A965" s="227"/>
      <c r="B965" s="40">
        <v>11</v>
      </c>
      <c r="C965" s="154" t="s">
        <v>2519</v>
      </c>
      <c r="D965" s="153" t="s">
        <v>3334</v>
      </c>
      <c r="E965" s="104">
        <v>311</v>
      </c>
      <c r="F965" s="40"/>
      <c r="G965" s="40" t="s">
        <v>3279</v>
      </c>
      <c r="H965" s="104" t="s">
        <v>3368</v>
      </c>
      <c r="I965" s="114">
        <f>62.16*1.25</f>
        <v>77.699999999999989</v>
      </c>
      <c r="J965" s="40" t="s">
        <v>1290</v>
      </c>
    </row>
    <row r="966" spans="1:10" s="6" customFormat="1" ht="38.25" x14ac:dyDescent="0.2">
      <c r="A966" s="227"/>
      <c r="B966" s="40">
        <v>12</v>
      </c>
      <c r="C966" s="152" t="s">
        <v>41</v>
      </c>
      <c r="D966" s="167" t="s">
        <v>2142</v>
      </c>
      <c r="E966" s="104" t="s">
        <v>3442</v>
      </c>
      <c r="F966" s="40"/>
      <c r="G966" s="40" t="s">
        <v>2956</v>
      </c>
      <c r="H966" s="104" t="s">
        <v>3443</v>
      </c>
      <c r="I966" s="114">
        <v>12915</v>
      </c>
      <c r="J966" s="40" t="s">
        <v>1290</v>
      </c>
    </row>
    <row r="967" spans="1:10" s="6" customFormat="1" ht="38.25" x14ac:dyDescent="0.2">
      <c r="A967" s="227"/>
      <c r="B967" s="40">
        <v>13</v>
      </c>
      <c r="C967" s="152" t="s">
        <v>45</v>
      </c>
      <c r="D967" s="167" t="s">
        <v>1641</v>
      </c>
      <c r="E967" s="104" t="s">
        <v>3572</v>
      </c>
      <c r="F967" s="40"/>
      <c r="G967" s="40" t="s">
        <v>3242</v>
      </c>
      <c r="H967" s="104" t="s">
        <v>3573</v>
      </c>
      <c r="I967" s="114">
        <v>8667.1</v>
      </c>
      <c r="J967" s="40" t="s">
        <v>1290</v>
      </c>
    </row>
    <row r="968" spans="1:10" s="6" customFormat="1" ht="38.25" x14ac:dyDescent="0.2">
      <c r="A968" s="227"/>
      <c r="B968" s="40">
        <v>14</v>
      </c>
      <c r="C968" s="154" t="s">
        <v>2519</v>
      </c>
      <c r="D968" s="167" t="s">
        <v>2554</v>
      </c>
      <c r="E968" s="104" t="s">
        <v>3253</v>
      </c>
      <c r="F968" s="40"/>
      <c r="G968" s="40" t="s">
        <v>3199</v>
      </c>
      <c r="H968" s="104" t="s">
        <v>3574</v>
      </c>
      <c r="I968" s="114">
        <v>6235.97</v>
      </c>
      <c r="J968" s="40" t="s">
        <v>1290</v>
      </c>
    </row>
    <row r="969" spans="1:10" s="6" customFormat="1" ht="38.25" x14ac:dyDescent="0.2">
      <c r="A969" s="227"/>
      <c r="B969" s="40">
        <v>15</v>
      </c>
      <c r="C969" s="152" t="s">
        <v>41</v>
      </c>
      <c r="D969" s="167" t="s">
        <v>2554</v>
      </c>
      <c r="E969" s="104" t="s">
        <v>3575</v>
      </c>
      <c r="F969" s="40"/>
      <c r="G969" s="40" t="s">
        <v>2823</v>
      </c>
      <c r="H969" s="104" t="s">
        <v>3576</v>
      </c>
      <c r="I969" s="114">
        <v>13143.17</v>
      </c>
      <c r="J969" s="40" t="s">
        <v>1290</v>
      </c>
    </row>
    <row r="970" spans="1:10" s="6" customFormat="1" ht="38.25" x14ac:dyDescent="0.2">
      <c r="A970" s="227"/>
      <c r="B970" s="40">
        <v>16</v>
      </c>
      <c r="C970" s="152" t="s">
        <v>1728</v>
      </c>
      <c r="D970" s="167" t="s">
        <v>2554</v>
      </c>
      <c r="E970" s="104" t="s">
        <v>3577</v>
      </c>
      <c r="F970" s="40"/>
      <c r="G970" s="40" t="s">
        <v>2823</v>
      </c>
      <c r="H970" s="104" t="s">
        <v>3576</v>
      </c>
      <c r="I970" s="114">
        <v>3815.91</v>
      </c>
      <c r="J970" s="40" t="s">
        <v>1290</v>
      </c>
    </row>
    <row r="971" spans="1:10" s="6" customFormat="1" ht="38.25" x14ac:dyDescent="0.2">
      <c r="A971" s="227"/>
      <c r="B971" s="40">
        <v>17</v>
      </c>
      <c r="C971" s="152" t="s">
        <v>148</v>
      </c>
      <c r="D971" s="167" t="s">
        <v>2554</v>
      </c>
      <c r="E971" s="104" t="s">
        <v>3250</v>
      </c>
      <c r="F971" s="40"/>
      <c r="G971" s="40" t="s">
        <v>3245</v>
      </c>
      <c r="H971" s="104" t="s">
        <v>3578</v>
      </c>
      <c r="I971" s="114">
        <v>3544.04</v>
      </c>
      <c r="J971" s="40" t="s">
        <v>1290</v>
      </c>
    </row>
    <row r="972" spans="1:10" ht="38.25" x14ac:dyDescent="0.2">
      <c r="A972" s="227"/>
      <c r="B972" s="54">
        <v>18</v>
      </c>
      <c r="C972" s="96" t="s">
        <v>45</v>
      </c>
      <c r="D972" s="172" t="s">
        <v>2554</v>
      </c>
      <c r="E972" s="55" t="s">
        <v>3244</v>
      </c>
      <c r="F972" s="54"/>
      <c r="G972" s="54" t="s">
        <v>2956</v>
      </c>
      <c r="H972" s="55" t="s">
        <v>3579</v>
      </c>
      <c r="I972" s="56">
        <v>9634.0400000000009</v>
      </c>
      <c r="J972" s="54" t="s">
        <v>1290</v>
      </c>
    </row>
    <row r="973" spans="1:10" ht="51" x14ac:dyDescent="0.2">
      <c r="A973" s="227"/>
      <c r="B973" s="54">
        <v>19</v>
      </c>
      <c r="C973" s="96" t="s">
        <v>1728</v>
      </c>
      <c r="D973" s="172" t="s">
        <v>1641</v>
      </c>
      <c r="E973" s="55" t="s">
        <v>3580</v>
      </c>
      <c r="F973" s="54"/>
      <c r="G973" s="54" t="s">
        <v>2823</v>
      </c>
      <c r="H973" s="55" t="s">
        <v>3581</v>
      </c>
      <c r="I973" s="56">
        <v>2890.57</v>
      </c>
      <c r="J973" s="54" t="s">
        <v>1290</v>
      </c>
    </row>
    <row r="974" spans="1:10" ht="38.25" x14ac:dyDescent="0.2">
      <c r="A974" s="227"/>
      <c r="B974" s="54">
        <v>20</v>
      </c>
      <c r="C974" s="96" t="s">
        <v>148</v>
      </c>
      <c r="D974" s="172" t="s">
        <v>2142</v>
      </c>
      <c r="E974" s="55" t="s">
        <v>3582</v>
      </c>
      <c r="F974" s="54"/>
      <c r="G974" s="54" t="s">
        <v>2956</v>
      </c>
      <c r="H974" s="55" t="s">
        <v>3583</v>
      </c>
      <c r="I974" s="56">
        <v>1247.17</v>
      </c>
      <c r="J974" s="54" t="s">
        <v>1290</v>
      </c>
    </row>
    <row r="975" spans="1:10" ht="38.25" x14ac:dyDescent="0.2">
      <c r="A975" s="227"/>
      <c r="B975" s="54">
        <v>21</v>
      </c>
      <c r="C975" s="95" t="s">
        <v>2519</v>
      </c>
      <c r="D975" s="172" t="s">
        <v>2142</v>
      </c>
      <c r="E975" s="55" t="s">
        <v>3584</v>
      </c>
      <c r="F975" s="54"/>
      <c r="G975" s="54" t="s">
        <v>2956</v>
      </c>
      <c r="H975" s="55" t="s">
        <v>3585</v>
      </c>
      <c r="I975" s="56">
        <v>4711.67</v>
      </c>
      <c r="J975" s="54" t="s">
        <v>1290</v>
      </c>
    </row>
    <row r="976" spans="1:10" ht="38.25" x14ac:dyDescent="0.2">
      <c r="A976" s="227"/>
      <c r="B976" s="54">
        <v>22</v>
      </c>
      <c r="C976" s="96" t="s">
        <v>1728</v>
      </c>
      <c r="D976" s="172" t="s">
        <v>2142</v>
      </c>
      <c r="E976" s="55" t="s">
        <v>3580</v>
      </c>
      <c r="F976" s="54"/>
      <c r="G976" s="54" t="s">
        <v>2956</v>
      </c>
      <c r="H976" s="55" t="s">
        <v>3586</v>
      </c>
      <c r="I976" s="56">
        <v>1971.27</v>
      </c>
      <c r="J976" s="54" t="s">
        <v>1290</v>
      </c>
    </row>
    <row r="977" spans="1:10" ht="38.25" x14ac:dyDescent="0.2">
      <c r="A977" s="227"/>
      <c r="B977" s="54">
        <v>23</v>
      </c>
      <c r="C977" s="96" t="s">
        <v>45</v>
      </c>
      <c r="D977" s="172" t="s">
        <v>2142</v>
      </c>
      <c r="E977" s="55" t="s">
        <v>3244</v>
      </c>
      <c r="F977" s="54"/>
      <c r="G977" s="54" t="s">
        <v>2956</v>
      </c>
      <c r="H977" s="55" t="s">
        <v>3587</v>
      </c>
      <c r="I977" s="56">
        <v>7357.35</v>
      </c>
      <c r="J977" s="54" t="s">
        <v>1290</v>
      </c>
    </row>
    <row r="978" spans="1:10" ht="38.25" x14ac:dyDescent="0.2">
      <c r="A978" s="227"/>
      <c r="B978" s="54">
        <v>24</v>
      </c>
      <c r="C978" s="95" t="s">
        <v>2519</v>
      </c>
      <c r="D978" s="172" t="s">
        <v>1656</v>
      </c>
      <c r="E978" s="55" t="s">
        <v>3704</v>
      </c>
      <c r="F978" s="54"/>
      <c r="G978" s="54" t="s">
        <v>3477</v>
      </c>
      <c r="H978" s="55" t="s">
        <v>3705</v>
      </c>
      <c r="I978" s="56">
        <v>193.79</v>
      </c>
      <c r="J978" s="54" t="s">
        <v>1290</v>
      </c>
    </row>
    <row r="979" spans="1:10" ht="38.25" x14ac:dyDescent="0.2">
      <c r="A979" s="227"/>
      <c r="B979" s="54">
        <v>25</v>
      </c>
      <c r="C979" s="96" t="s">
        <v>1728</v>
      </c>
      <c r="D979" s="172" t="s">
        <v>1656</v>
      </c>
      <c r="E979" s="55" t="s">
        <v>3706</v>
      </c>
      <c r="F979" s="54"/>
      <c r="G979" s="54" t="s">
        <v>2958</v>
      </c>
      <c r="H979" s="55" t="s">
        <v>3707</v>
      </c>
      <c r="I979" s="56">
        <v>526.37</v>
      </c>
      <c r="J979" s="54" t="s">
        <v>1290</v>
      </c>
    </row>
    <row r="980" spans="1:10" ht="38.25" x14ac:dyDescent="0.2">
      <c r="A980" s="227"/>
      <c r="B980" s="54">
        <v>26</v>
      </c>
      <c r="C980" s="96" t="s">
        <v>1728</v>
      </c>
      <c r="D980" s="172" t="s">
        <v>2383</v>
      </c>
      <c r="E980" s="55" t="s">
        <v>3708</v>
      </c>
      <c r="F980" s="54"/>
      <c r="G980" s="54" t="s">
        <v>3242</v>
      </c>
      <c r="H980" s="55" t="s">
        <v>3709</v>
      </c>
      <c r="I980" s="56">
        <v>2848.86</v>
      </c>
      <c r="J980" s="54" t="s">
        <v>1290</v>
      </c>
    </row>
    <row r="981" spans="1:10" ht="38.25" x14ac:dyDescent="0.2">
      <c r="A981" s="227"/>
      <c r="B981" s="54">
        <v>27</v>
      </c>
      <c r="C981" s="95" t="s">
        <v>2519</v>
      </c>
      <c r="D981" s="172" t="s">
        <v>2383</v>
      </c>
      <c r="E981" s="55" t="s">
        <v>3710</v>
      </c>
      <c r="F981" s="54"/>
      <c r="G981" s="54" t="s">
        <v>3711</v>
      </c>
      <c r="H981" s="55" t="s">
        <v>3712</v>
      </c>
      <c r="I981" s="56">
        <v>41743.67</v>
      </c>
      <c r="J981" s="54" t="s">
        <v>1290</v>
      </c>
    </row>
    <row r="982" spans="1:10" ht="38.25" x14ac:dyDescent="0.2">
      <c r="A982" s="227"/>
      <c r="B982" s="54">
        <v>28</v>
      </c>
      <c r="C982" s="96" t="s">
        <v>45</v>
      </c>
      <c r="D982" s="172" t="s">
        <v>2383</v>
      </c>
      <c r="E982" s="55" t="s">
        <v>3713</v>
      </c>
      <c r="F982" s="54"/>
      <c r="G982" s="54" t="s">
        <v>3714</v>
      </c>
      <c r="H982" s="55" t="s">
        <v>3715</v>
      </c>
      <c r="I982" s="56">
        <v>61563.14</v>
      </c>
      <c r="J982" s="54" t="s">
        <v>1290</v>
      </c>
    </row>
    <row r="983" spans="1:10" ht="38.25" x14ac:dyDescent="0.2">
      <c r="A983" s="227"/>
      <c r="B983" s="54">
        <v>29</v>
      </c>
      <c r="C983" s="96" t="s">
        <v>41</v>
      </c>
      <c r="D983" s="172" t="s">
        <v>2383</v>
      </c>
      <c r="E983" s="55" t="s">
        <v>3442</v>
      </c>
      <c r="F983" s="54"/>
      <c r="G983" s="54" t="s">
        <v>3251</v>
      </c>
      <c r="H983" s="55" t="s">
        <v>3716</v>
      </c>
      <c r="I983" s="56">
        <v>137133.99</v>
      </c>
      <c r="J983" s="54" t="s">
        <v>1290</v>
      </c>
    </row>
    <row r="984" spans="1:10" ht="38.25" x14ac:dyDescent="0.2">
      <c r="A984" s="227"/>
      <c r="B984" s="54">
        <v>30</v>
      </c>
      <c r="C984" s="96" t="s">
        <v>41</v>
      </c>
      <c r="D984" s="172" t="s">
        <v>1656</v>
      </c>
      <c r="E984" s="55" t="s">
        <v>3717</v>
      </c>
      <c r="F984" s="54"/>
      <c r="G984" s="54" t="s">
        <v>2958</v>
      </c>
      <c r="H984" s="55" t="s">
        <v>3718</v>
      </c>
      <c r="I984" s="56">
        <v>7340.13</v>
      </c>
      <c r="J984" s="54" t="s">
        <v>1290</v>
      </c>
    </row>
    <row r="985" spans="1:10" ht="38.25" x14ac:dyDescent="0.2">
      <c r="A985" s="227"/>
      <c r="B985" s="54">
        <v>31</v>
      </c>
      <c r="C985" s="96" t="s">
        <v>45</v>
      </c>
      <c r="D985" s="172" t="s">
        <v>1656</v>
      </c>
      <c r="E985" s="55" t="s">
        <v>3719</v>
      </c>
      <c r="F985" s="54"/>
      <c r="G985" s="54" t="s">
        <v>2958</v>
      </c>
      <c r="H985" s="55" t="s">
        <v>3720</v>
      </c>
      <c r="I985" s="56">
        <v>608.12</v>
      </c>
      <c r="J985" s="54" t="s">
        <v>1290</v>
      </c>
    </row>
    <row r="986" spans="1:10" ht="38.25" x14ac:dyDescent="0.2">
      <c r="A986" s="227"/>
      <c r="B986" s="54">
        <v>32</v>
      </c>
      <c r="C986" s="96" t="s">
        <v>148</v>
      </c>
      <c r="D986" s="172" t="s">
        <v>2383</v>
      </c>
      <c r="E986" s="55" t="s">
        <v>3250</v>
      </c>
      <c r="F986" s="54"/>
      <c r="G986" s="54" t="s">
        <v>3196</v>
      </c>
      <c r="H986" s="55" t="s">
        <v>3721</v>
      </c>
      <c r="I986" s="56">
        <v>7871.43</v>
      </c>
      <c r="J986" s="54" t="s">
        <v>1290</v>
      </c>
    </row>
    <row r="987" spans="1:10" ht="38.25" x14ac:dyDescent="0.2">
      <c r="A987" s="227"/>
      <c r="B987" s="54">
        <v>33</v>
      </c>
      <c r="C987" s="96" t="s">
        <v>41</v>
      </c>
      <c r="D987" s="172" t="s">
        <v>1641</v>
      </c>
      <c r="E987" s="55" t="s">
        <v>3247</v>
      </c>
      <c r="F987" s="54"/>
      <c r="G987" s="54" t="s">
        <v>3722</v>
      </c>
      <c r="H987" s="55" t="s">
        <v>3723</v>
      </c>
      <c r="I987" s="56">
        <v>10592.72</v>
      </c>
      <c r="J987" s="54" t="s">
        <v>1290</v>
      </c>
    </row>
    <row r="988" spans="1:10" ht="38.25" x14ac:dyDescent="0.2">
      <c r="A988" s="227"/>
      <c r="B988" s="54">
        <v>34</v>
      </c>
      <c r="C988" s="96" t="s">
        <v>148</v>
      </c>
      <c r="D988" s="172" t="s">
        <v>1656</v>
      </c>
      <c r="E988" s="55" t="s">
        <v>3724</v>
      </c>
      <c r="F988" s="54"/>
      <c r="G988" s="54" t="s">
        <v>2958</v>
      </c>
      <c r="H988" s="55" t="s">
        <v>3725</v>
      </c>
      <c r="I988" s="56">
        <v>268.17</v>
      </c>
      <c r="J988" s="54" t="s">
        <v>1290</v>
      </c>
    </row>
    <row r="989" spans="1:10" ht="38.25" x14ac:dyDescent="0.2">
      <c r="A989" s="227"/>
      <c r="B989" s="54">
        <v>35</v>
      </c>
      <c r="C989" s="96" t="s">
        <v>148</v>
      </c>
      <c r="D989" s="172" t="s">
        <v>1731</v>
      </c>
      <c r="E989" s="55"/>
      <c r="F989" s="54"/>
      <c r="G989" s="54" t="s">
        <v>3647</v>
      </c>
      <c r="H989" s="55" t="s">
        <v>3774</v>
      </c>
      <c r="I989" s="56">
        <f>58.6*1.05</f>
        <v>61.53</v>
      </c>
      <c r="J989" s="54" t="s">
        <v>1290</v>
      </c>
    </row>
    <row r="990" spans="1:10" ht="38.25" x14ac:dyDescent="0.2">
      <c r="A990" s="227"/>
      <c r="B990" s="54">
        <v>36</v>
      </c>
      <c r="C990" s="95" t="s">
        <v>2519</v>
      </c>
      <c r="D990" s="172" t="s">
        <v>1641</v>
      </c>
      <c r="E990" s="55" t="s">
        <v>3799</v>
      </c>
      <c r="F990" s="54"/>
      <c r="G990" s="54" t="s">
        <v>3477</v>
      </c>
      <c r="H990" s="55" t="s">
        <v>3705</v>
      </c>
      <c r="I990" s="56">
        <v>9120.51</v>
      </c>
      <c r="J990" s="54" t="s">
        <v>1290</v>
      </c>
    </row>
    <row r="991" spans="1:10" ht="38.25" x14ac:dyDescent="0.2">
      <c r="A991" s="227"/>
      <c r="B991" s="54">
        <v>37</v>
      </c>
      <c r="C991" s="96" t="s">
        <v>41</v>
      </c>
      <c r="D991" s="172" t="s">
        <v>2154</v>
      </c>
      <c r="E991" s="55" t="s">
        <v>3800</v>
      </c>
      <c r="F991" s="54"/>
      <c r="G991" s="54" t="s">
        <v>3801</v>
      </c>
      <c r="H991" s="55" t="s">
        <v>3802</v>
      </c>
      <c r="I991" s="56">
        <f>3685.9*1.05</f>
        <v>3870.1950000000002</v>
      </c>
      <c r="J991" s="54" t="s">
        <v>1290</v>
      </c>
    </row>
    <row r="992" spans="1:10" ht="38.25" x14ac:dyDescent="0.2">
      <c r="A992" s="227"/>
      <c r="B992" s="54">
        <v>38</v>
      </c>
      <c r="C992" s="96" t="s">
        <v>148</v>
      </c>
      <c r="D992" s="172" t="s">
        <v>2154</v>
      </c>
      <c r="E992" s="55" t="s">
        <v>3803</v>
      </c>
      <c r="F992" s="54"/>
      <c r="G992" s="54" t="s">
        <v>3477</v>
      </c>
      <c r="H992" s="55" t="s">
        <v>3804</v>
      </c>
      <c r="I992" s="56">
        <v>306.66000000000003</v>
      </c>
      <c r="J992" s="54" t="s">
        <v>1290</v>
      </c>
    </row>
    <row r="993" spans="1:10" ht="38.25" x14ac:dyDescent="0.2">
      <c r="A993" s="227"/>
      <c r="B993" s="54">
        <v>39</v>
      </c>
      <c r="C993" s="96" t="s">
        <v>45</v>
      </c>
      <c r="D993" s="172" t="s">
        <v>2154</v>
      </c>
      <c r="E993" s="55" t="s">
        <v>3805</v>
      </c>
      <c r="F993" s="54"/>
      <c r="G993" s="54" t="s">
        <v>3781</v>
      </c>
      <c r="H993" s="55" t="s">
        <v>3806</v>
      </c>
      <c r="I993" s="56">
        <f>741.16*1.05</f>
        <v>778.21799999999996</v>
      </c>
      <c r="J993" s="54" t="s">
        <v>1290</v>
      </c>
    </row>
    <row r="994" spans="1:10" ht="38.25" x14ac:dyDescent="0.2">
      <c r="A994" s="227"/>
      <c r="B994" s="54">
        <v>40</v>
      </c>
      <c r="C994" s="96" t="s">
        <v>1728</v>
      </c>
      <c r="D994" s="172" t="s">
        <v>2154</v>
      </c>
      <c r="E994" s="55" t="s">
        <v>3807</v>
      </c>
      <c r="F994" s="54"/>
      <c r="G994" s="54" t="s">
        <v>3477</v>
      </c>
      <c r="H994" s="55" t="s">
        <v>3808</v>
      </c>
      <c r="I994" s="56">
        <f>625.5*1.05</f>
        <v>656.77499999999998</v>
      </c>
      <c r="J994" s="54" t="s">
        <v>1290</v>
      </c>
    </row>
    <row r="995" spans="1:10" ht="38.25" x14ac:dyDescent="0.2">
      <c r="A995" s="227"/>
      <c r="B995" s="54">
        <v>41</v>
      </c>
      <c r="C995" s="96" t="s">
        <v>45</v>
      </c>
      <c r="D995" s="105" t="s">
        <v>2352</v>
      </c>
      <c r="E995" s="101" t="s">
        <v>3826</v>
      </c>
      <c r="F995" s="25"/>
      <c r="G995" s="25" t="s">
        <v>3468</v>
      </c>
      <c r="H995" s="55" t="s">
        <v>3827</v>
      </c>
      <c r="I995" s="18">
        <v>1516.96</v>
      </c>
      <c r="J995" s="54" t="s">
        <v>1290</v>
      </c>
    </row>
    <row r="996" spans="1:10" ht="38.25" x14ac:dyDescent="0.2">
      <c r="A996" s="227"/>
      <c r="B996" s="54">
        <v>42</v>
      </c>
      <c r="C996" s="96" t="s">
        <v>41</v>
      </c>
      <c r="D996" s="105" t="s">
        <v>2352</v>
      </c>
      <c r="E996" s="101" t="s">
        <v>3442</v>
      </c>
      <c r="F996" s="25"/>
      <c r="G996" s="25" t="s">
        <v>3722</v>
      </c>
      <c r="H996" s="55" t="s">
        <v>3723</v>
      </c>
      <c r="I996" s="18">
        <v>4864.8599999999997</v>
      </c>
      <c r="J996" s="54" t="s">
        <v>1290</v>
      </c>
    </row>
    <row r="997" spans="1:10" ht="38.25" x14ac:dyDescent="0.2">
      <c r="A997" s="227"/>
      <c r="B997" s="54">
        <v>43</v>
      </c>
      <c r="C997" s="96" t="s">
        <v>1728</v>
      </c>
      <c r="D997" s="105" t="s">
        <v>2352</v>
      </c>
      <c r="E997" s="101" t="s">
        <v>3241</v>
      </c>
      <c r="F997" s="25"/>
      <c r="G997" s="25" t="s">
        <v>3242</v>
      </c>
      <c r="H997" s="55" t="s">
        <v>3709</v>
      </c>
      <c r="I997" s="18">
        <v>289.73</v>
      </c>
      <c r="J997" s="54" t="s">
        <v>1290</v>
      </c>
    </row>
    <row r="998" spans="1:10" ht="38.25" x14ac:dyDescent="0.2">
      <c r="A998" s="227"/>
      <c r="B998" s="54">
        <v>44</v>
      </c>
      <c r="C998" s="95" t="s">
        <v>2519</v>
      </c>
      <c r="D998" s="105" t="s">
        <v>2352</v>
      </c>
      <c r="E998" s="101" t="s">
        <v>3584</v>
      </c>
      <c r="F998" s="25"/>
      <c r="G998" s="25" t="s">
        <v>3196</v>
      </c>
      <c r="H998" s="55" t="s">
        <v>3828</v>
      </c>
      <c r="I998" s="18">
        <v>794.56</v>
      </c>
      <c r="J998" s="54" t="s">
        <v>1290</v>
      </c>
    </row>
    <row r="999" spans="1:10" ht="38.25" x14ac:dyDescent="0.2">
      <c r="A999" s="227"/>
      <c r="B999" s="54">
        <v>45</v>
      </c>
      <c r="C999" s="96" t="s">
        <v>148</v>
      </c>
      <c r="D999" s="105" t="s">
        <v>2352</v>
      </c>
      <c r="E999" s="101" t="s">
        <v>3829</v>
      </c>
      <c r="F999" s="25"/>
      <c r="G999" s="25" t="s">
        <v>3652</v>
      </c>
      <c r="H999" s="55" t="s">
        <v>3830</v>
      </c>
      <c r="I999" s="18">
        <v>276.64999999999998</v>
      </c>
      <c r="J999" s="54" t="s">
        <v>1290</v>
      </c>
    </row>
    <row r="1000" spans="1:10" ht="38.25" x14ac:dyDescent="0.2">
      <c r="A1000" s="227"/>
      <c r="B1000" s="54">
        <v>46</v>
      </c>
      <c r="C1000" s="95" t="s">
        <v>2519</v>
      </c>
      <c r="D1000" s="105" t="s">
        <v>2259</v>
      </c>
      <c r="E1000" s="101" t="s">
        <v>3799</v>
      </c>
      <c r="F1000" s="25"/>
      <c r="G1000" s="25" t="s">
        <v>2794</v>
      </c>
      <c r="H1000" s="55" t="s">
        <v>3831</v>
      </c>
      <c r="I1000" s="18">
        <f>892.5</f>
        <v>892.5</v>
      </c>
      <c r="J1000" s="54" t="s">
        <v>1290</v>
      </c>
    </row>
    <row r="1001" spans="1:10" ht="38.25" x14ac:dyDescent="0.2">
      <c r="A1001" s="227"/>
      <c r="B1001" s="54">
        <v>47</v>
      </c>
      <c r="C1001" s="96" t="s">
        <v>1728</v>
      </c>
      <c r="D1001" s="105" t="s">
        <v>1731</v>
      </c>
      <c r="E1001" s="101"/>
      <c r="F1001" s="25"/>
      <c r="G1001" s="25" t="s">
        <v>3647</v>
      </c>
      <c r="H1001" s="55" t="s">
        <v>3774</v>
      </c>
      <c r="I1001" s="18">
        <f>11.16*1.05</f>
        <v>11.718</v>
      </c>
      <c r="J1001" s="54" t="s">
        <v>1290</v>
      </c>
    </row>
    <row r="1002" spans="1:10" ht="38.25" x14ac:dyDescent="0.2">
      <c r="A1002" s="227"/>
      <c r="B1002" s="54">
        <v>48</v>
      </c>
      <c r="C1002" s="96" t="s">
        <v>45</v>
      </c>
      <c r="D1002" s="105" t="s">
        <v>1731</v>
      </c>
      <c r="E1002" s="101"/>
      <c r="F1002" s="25"/>
      <c r="G1002" s="25" t="s">
        <v>3647</v>
      </c>
      <c r="H1002" s="55" t="s">
        <v>3774</v>
      </c>
      <c r="I1002" s="18">
        <f>18.5*1.05</f>
        <v>19.425000000000001</v>
      </c>
      <c r="J1002" s="54" t="s">
        <v>1290</v>
      </c>
    </row>
    <row r="1003" spans="1:10" ht="38.25" x14ac:dyDescent="0.2">
      <c r="A1003" s="227"/>
      <c r="B1003" s="54">
        <v>49</v>
      </c>
      <c r="C1003" s="96" t="s">
        <v>41</v>
      </c>
      <c r="D1003" s="105" t="s">
        <v>2259</v>
      </c>
      <c r="E1003" s="101" t="s">
        <v>3875</v>
      </c>
      <c r="F1003" s="25"/>
      <c r="G1003" s="25" t="s">
        <v>3811</v>
      </c>
      <c r="H1003" s="55" t="s">
        <v>3876</v>
      </c>
      <c r="I1003" s="18">
        <v>1758.75</v>
      </c>
      <c r="J1003" s="54" t="s">
        <v>1290</v>
      </c>
    </row>
    <row r="1004" spans="1:10" ht="38.25" x14ac:dyDescent="0.2">
      <c r="A1004" s="227"/>
      <c r="B1004" s="54">
        <v>50</v>
      </c>
      <c r="C1004" s="96" t="s">
        <v>45</v>
      </c>
      <c r="D1004" s="105" t="s">
        <v>1692</v>
      </c>
      <c r="E1004" s="101" t="s">
        <v>3244</v>
      </c>
      <c r="F1004" s="25"/>
      <c r="G1004" s="25" t="s">
        <v>3484</v>
      </c>
      <c r="H1004" s="55" t="s">
        <v>3877</v>
      </c>
      <c r="I1004" s="18">
        <v>2021.62</v>
      </c>
      <c r="J1004" s="54" t="s">
        <v>1290</v>
      </c>
    </row>
    <row r="1005" spans="1:10" ht="38.25" x14ac:dyDescent="0.2">
      <c r="A1005" s="227"/>
      <c r="B1005" s="54">
        <v>51</v>
      </c>
      <c r="C1005" s="96" t="s">
        <v>1728</v>
      </c>
      <c r="D1005" s="105" t="s">
        <v>1692</v>
      </c>
      <c r="E1005" s="101" t="s">
        <v>3706</v>
      </c>
      <c r="F1005" s="25"/>
      <c r="G1005" s="25" t="s">
        <v>2958</v>
      </c>
      <c r="H1005" s="55" t="s">
        <v>3707</v>
      </c>
      <c r="I1005" s="18">
        <v>298.99</v>
      </c>
      <c r="J1005" s="54" t="s">
        <v>1290</v>
      </c>
    </row>
    <row r="1006" spans="1:10" ht="38.25" x14ac:dyDescent="0.2">
      <c r="A1006" s="227"/>
      <c r="B1006" s="54">
        <v>52</v>
      </c>
      <c r="C1006" s="95" t="s">
        <v>2519</v>
      </c>
      <c r="D1006" s="105" t="s">
        <v>1692</v>
      </c>
      <c r="E1006" s="101" t="s">
        <v>3878</v>
      </c>
      <c r="F1006" s="25"/>
      <c r="G1006" s="25" t="s">
        <v>3199</v>
      </c>
      <c r="H1006" s="55" t="s">
        <v>3879</v>
      </c>
      <c r="I1006" s="18">
        <v>1484.57</v>
      </c>
      <c r="J1006" s="54" t="s">
        <v>1290</v>
      </c>
    </row>
    <row r="1007" spans="1:10" ht="38.25" x14ac:dyDescent="0.2">
      <c r="A1007" s="227"/>
      <c r="B1007" s="54">
        <v>53</v>
      </c>
      <c r="C1007" s="96" t="s">
        <v>41</v>
      </c>
      <c r="D1007" s="105" t="s">
        <v>1692</v>
      </c>
      <c r="E1007" s="101" t="s">
        <v>3442</v>
      </c>
      <c r="F1007" s="25"/>
      <c r="G1007" s="25" t="s">
        <v>3468</v>
      </c>
      <c r="H1007" s="55" t="s">
        <v>3880</v>
      </c>
      <c r="I1007" s="18">
        <v>4948.0200000000004</v>
      </c>
      <c r="J1007" s="54" t="s">
        <v>1290</v>
      </c>
    </row>
    <row r="1008" spans="1:10" ht="38.25" x14ac:dyDescent="0.2">
      <c r="A1008" s="227"/>
      <c r="B1008" s="54">
        <v>54</v>
      </c>
      <c r="C1008" s="96" t="s">
        <v>148</v>
      </c>
      <c r="D1008" s="105" t="s">
        <v>1692</v>
      </c>
      <c r="E1008" s="101" t="s">
        <v>3250</v>
      </c>
      <c r="F1008" s="25"/>
      <c r="G1008" s="25" t="s">
        <v>2958</v>
      </c>
      <c r="H1008" s="55" t="s">
        <v>3725</v>
      </c>
      <c r="I1008" s="18">
        <v>597.89</v>
      </c>
      <c r="J1008" s="54" t="s">
        <v>1290</v>
      </c>
    </row>
    <row r="1009" spans="1:10" ht="38.25" x14ac:dyDescent="0.2">
      <c r="A1009" s="227"/>
      <c r="B1009" s="54">
        <v>55</v>
      </c>
      <c r="C1009" s="96" t="s">
        <v>148</v>
      </c>
      <c r="D1009" s="105" t="s">
        <v>1641</v>
      </c>
      <c r="E1009" s="101" t="s">
        <v>3250</v>
      </c>
      <c r="F1009" s="25"/>
      <c r="G1009" s="25" t="s">
        <v>2823</v>
      </c>
      <c r="H1009" s="55" t="s">
        <v>3881</v>
      </c>
      <c r="I1009" s="18">
        <v>1980.3</v>
      </c>
      <c r="J1009" s="54" t="s">
        <v>1290</v>
      </c>
    </row>
    <row r="1010" spans="1:10" ht="38.25" x14ac:dyDescent="0.2">
      <c r="A1010" s="227"/>
      <c r="B1010" s="54">
        <v>56</v>
      </c>
      <c r="C1010" s="96" t="s">
        <v>148</v>
      </c>
      <c r="D1010" s="105" t="s">
        <v>1731</v>
      </c>
      <c r="E1010" s="101"/>
      <c r="F1010" s="25"/>
      <c r="G1010" s="25" t="s">
        <v>3647</v>
      </c>
      <c r="H1010" s="55" t="s">
        <v>3774</v>
      </c>
      <c r="I1010" s="18">
        <f>58.6*1.05</f>
        <v>61.53</v>
      </c>
      <c r="J1010" s="54" t="s">
        <v>1290</v>
      </c>
    </row>
    <row r="1011" spans="1:10" ht="38.25" x14ac:dyDescent="0.2">
      <c r="A1011" s="227"/>
      <c r="B1011" s="54">
        <v>57</v>
      </c>
      <c r="C1011" s="95" t="s">
        <v>2519</v>
      </c>
      <c r="D1011" s="105" t="s">
        <v>1625</v>
      </c>
      <c r="E1011" s="101" t="s">
        <v>3799</v>
      </c>
      <c r="F1011" s="25"/>
      <c r="G1011" s="25" t="s">
        <v>3981</v>
      </c>
      <c r="H1011" s="55" t="s">
        <v>4017</v>
      </c>
      <c r="I1011" s="18">
        <f>141.12+686.7+3301.2+17482.5+13230+23184+300.3+636.3+8269.91</f>
        <v>67232.030000000013</v>
      </c>
      <c r="J1011" s="54" t="s">
        <v>1290</v>
      </c>
    </row>
    <row r="1012" spans="1:10" ht="38.25" x14ac:dyDescent="0.2">
      <c r="A1012" s="227"/>
      <c r="B1012" s="54">
        <v>58</v>
      </c>
      <c r="C1012" s="96" t="s">
        <v>148</v>
      </c>
      <c r="D1012" s="105" t="s">
        <v>1625</v>
      </c>
      <c r="E1012" s="101" t="s">
        <v>3250</v>
      </c>
      <c r="F1012" s="25"/>
      <c r="G1012" s="25" t="s">
        <v>3983</v>
      </c>
      <c r="H1012" s="55" t="s">
        <v>4018</v>
      </c>
      <c r="I1012" s="18">
        <f>426.3+279.3+585.9+132.3+41790</f>
        <v>43213.8</v>
      </c>
      <c r="J1012" s="54" t="s">
        <v>1290</v>
      </c>
    </row>
    <row r="1013" spans="1:10" ht="38.25" x14ac:dyDescent="0.2">
      <c r="A1013" s="227"/>
      <c r="B1013" s="54">
        <v>59</v>
      </c>
      <c r="C1013" s="96" t="s">
        <v>45</v>
      </c>
      <c r="D1013" s="105" t="s">
        <v>1625</v>
      </c>
      <c r="E1013" s="101" t="s">
        <v>4019</v>
      </c>
      <c r="F1013" s="25"/>
      <c r="G1013" s="25" t="s">
        <v>3973</v>
      </c>
      <c r="H1013" s="55" t="s">
        <v>4020</v>
      </c>
      <c r="I1013" s="18">
        <f>157.61+10101+3969+257.25+2415.11+819+1764</f>
        <v>19482.97</v>
      </c>
      <c r="J1013" s="54" t="s">
        <v>1290</v>
      </c>
    </row>
    <row r="1014" spans="1:10" ht="38.25" x14ac:dyDescent="0.2">
      <c r="A1014" s="227"/>
      <c r="B1014" s="54">
        <v>60</v>
      </c>
      <c r="C1014" s="96" t="s">
        <v>41</v>
      </c>
      <c r="D1014" s="105" t="s">
        <v>1625</v>
      </c>
      <c r="E1014" s="101" t="s">
        <v>3247</v>
      </c>
      <c r="F1014" s="25"/>
      <c r="G1014" s="25" t="s">
        <v>3975</v>
      </c>
      <c r="H1014" s="55" t="s">
        <v>4021</v>
      </c>
      <c r="I1014" s="18">
        <f>2551.5+1134+415.8+4167.45+8316+18207+9450+450.45+6647.76</f>
        <v>51339.96</v>
      </c>
      <c r="J1014" s="54" t="s">
        <v>1290</v>
      </c>
    </row>
    <row r="1015" spans="1:10" ht="38.25" x14ac:dyDescent="0.2">
      <c r="A1015" s="227"/>
      <c r="B1015" s="54">
        <v>61</v>
      </c>
      <c r="C1015" s="96" t="s">
        <v>1728</v>
      </c>
      <c r="D1015" s="105" t="s">
        <v>1625</v>
      </c>
      <c r="E1015" s="101" t="s">
        <v>4022</v>
      </c>
      <c r="F1015" s="25"/>
      <c r="G1015" s="25" t="s">
        <v>3975</v>
      </c>
      <c r="H1015" s="55" t="s">
        <v>4023</v>
      </c>
      <c r="I1015" s="18">
        <f>183.54+4005.86+478.8+1956.91</f>
        <v>6625.1100000000006</v>
      </c>
      <c r="J1015" s="54" t="s">
        <v>1290</v>
      </c>
    </row>
    <row r="1016" spans="1:10" ht="38.25" x14ac:dyDescent="0.2">
      <c r="A1016" s="227"/>
      <c r="B1016" s="54">
        <v>62</v>
      </c>
      <c r="C1016" s="96" t="s">
        <v>45</v>
      </c>
      <c r="D1016" s="105" t="s">
        <v>4033</v>
      </c>
      <c r="E1016" s="101" t="s">
        <v>4019</v>
      </c>
      <c r="F1016" s="25"/>
      <c r="G1016" s="25" t="s">
        <v>3477</v>
      </c>
      <c r="H1016" s="55" t="s">
        <v>4050</v>
      </c>
      <c r="I1016" s="18">
        <f>4180*1.05</f>
        <v>4389</v>
      </c>
      <c r="J1016" s="54" t="s">
        <v>1290</v>
      </c>
    </row>
    <row r="1017" spans="1:10" ht="38.25" x14ac:dyDescent="0.2">
      <c r="A1017" s="227"/>
      <c r="B1017" s="54">
        <v>63</v>
      </c>
      <c r="C1017" s="96" t="s">
        <v>1728</v>
      </c>
      <c r="D1017" s="105" t="s">
        <v>4033</v>
      </c>
      <c r="E1017" s="101" t="s">
        <v>4051</v>
      </c>
      <c r="F1017" s="25"/>
      <c r="G1017" s="25" t="s">
        <v>3477</v>
      </c>
      <c r="H1017" s="55" t="s">
        <v>3808</v>
      </c>
      <c r="I1017" s="18">
        <f>93*1.05</f>
        <v>97.65</v>
      </c>
      <c r="J1017" s="54" t="s">
        <v>1290</v>
      </c>
    </row>
    <row r="1018" spans="1:10" ht="38.25" x14ac:dyDescent="0.2">
      <c r="A1018" s="227"/>
      <c r="B1018" s="54">
        <v>64</v>
      </c>
      <c r="C1018" s="96" t="s">
        <v>148</v>
      </c>
      <c r="D1018" s="105" t="s">
        <v>4033</v>
      </c>
      <c r="E1018" s="101" t="s">
        <v>3250</v>
      </c>
      <c r="F1018" s="25"/>
      <c r="G1018" s="25" t="s">
        <v>3477</v>
      </c>
      <c r="H1018" s="55" t="s">
        <v>3804</v>
      </c>
      <c r="I1018" s="18">
        <f>72.5*1.05</f>
        <v>76.125</v>
      </c>
      <c r="J1018" s="54" t="s">
        <v>1290</v>
      </c>
    </row>
    <row r="1019" spans="1:10" ht="38.25" x14ac:dyDescent="0.2">
      <c r="A1019" s="227"/>
      <c r="B1019" s="54">
        <v>65</v>
      </c>
      <c r="C1019" s="96" t="s">
        <v>45</v>
      </c>
      <c r="D1019" s="105" t="s">
        <v>1637</v>
      </c>
      <c r="E1019" s="101" t="s">
        <v>3572</v>
      </c>
      <c r="F1019" s="25"/>
      <c r="G1019" s="25" t="s">
        <v>3652</v>
      </c>
      <c r="H1019" s="55" t="s">
        <v>4070</v>
      </c>
      <c r="I1019" s="18">
        <v>6511.3</v>
      </c>
      <c r="J1019" s="54" t="s">
        <v>1290</v>
      </c>
    </row>
    <row r="1020" spans="1:10" ht="38.25" x14ac:dyDescent="0.2">
      <c r="A1020" s="227"/>
      <c r="B1020" s="54">
        <v>66</v>
      </c>
      <c r="C1020" s="96" t="s">
        <v>1728</v>
      </c>
      <c r="D1020" s="105" t="s">
        <v>1637</v>
      </c>
      <c r="E1020" s="101" t="s">
        <v>4022</v>
      </c>
      <c r="F1020" s="25"/>
      <c r="G1020" s="25" t="s">
        <v>3477</v>
      </c>
      <c r="H1020" s="55" t="s">
        <v>3808</v>
      </c>
      <c r="I1020" s="18">
        <v>4131.54</v>
      </c>
      <c r="J1020" s="54" t="s">
        <v>1290</v>
      </c>
    </row>
    <row r="1021" spans="1:10" ht="38.25" x14ac:dyDescent="0.2">
      <c r="A1021" s="227"/>
      <c r="B1021" s="54">
        <v>67</v>
      </c>
      <c r="C1021" s="96" t="s">
        <v>148</v>
      </c>
      <c r="D1021" s="105" t="s">
        <v>1637</v>
      </c>
      <c r="E1021" s="101" t="s">
        <v>4071</v>
      </c>
      <c r="F1021" s="25"/>
      <c r="G1021" s="25" t="s">
        <v>3477</v>
      </c>
      <c r="H1021" s="55" t="s">
        <v>3804</v>
      </c>
      <c r="I1021" s="18">
        <v>3442.95</v>
      </c>
      <c r="J1021" s="54" t="s">
        <v>1290</v>
      </c>
    </row>
    <row r="1022" spans="1:10" ht="38.25" x14ac:dyDescent="0.2">
      <c r="A1022" s="227"/>
      <c r="B1022" s="54">
        <v>68</v>
      </c>
      <c r="C1022" s="96" t="s">
        <v>41</v>
      </c>
      <c r="D1022" s="105" t="s">
        <v>1637</v>
      </c>
      <c r="E1022" s="101" t="s">
        <v>3442</v>
      </c>
      <c r="F1022" s="25"/>
      <c r="G1022" s="25" t="s">
        <v>3722</v>
      </c>
      <c r="H1022" s="55" t="s">
        <v>3723</v>
      </c>
      <c r="I1022" s="18">
        <v>20368.95</v>
      </c>
      <c r="J1022" s="54" t="s">
        <v>1290</v>
      </c>
    </row>
    <row r="1023" spans="1:10" ht="38.25" x14ac:dyDescent="0.2">
      <c r="A1023" s="227"/>
      <c r="B1023" s="54">
        <v>69</v>
      </c>
      <c r="C1023" s="95" t="s">
        <v>2519</v>
      </c>
      <c r="D1023" s="105" t="s">
        <v>1637</v>
      </c>
      <c r="E1023" s="101" t="s">
        <v>4072</v>
      </c>
      <c r="F1023" s="25"/>
      <c r="G1023" s="25" t="s">
        <v>4068</v>
      </c>
      <c r="H1023" s="55" t="s">
        <v>4073</v>
      </c>
      <c r="I1023" s="18">
        <v>10813.74</v>
      </c>
      <c r="J1023" s="54" t="s">
        <v>1290</v>
      </c>
    </row>
  </sheetData>
  <autoFilter ref="A5:J942"/>
  <mergeCells count="23">
    <mergeCell ref="A955:A1023"/>
    <mergeCell ref="A92:A158"/>
    <mergeCell ref="A270:A354"/>
    <mergeCell ref="A924:A935"/>
    <mergeCell ref="A770:A851"/>
    <mergeCell ref="A355:A450"/>
    <mergeCell ref="A520:A603"/>
    <mergeCell ref="A852:A923"/>
    <mergeCell ref="A604:A691"/>
    <mergeCell ref="A451:A518"/>
    <mergeCell ref="A936:A954"/>
    <mergeCell ref="A692:A720"/>
    <mergeCell ref="A723:A748"/>
    <mergeCell ref="A749:A762"/>
    <mergeCell ref="A763:A769"/>
    <mergeCell ref="A721:A722"/>
    <mergeCell ref="A2:C2"/>
    <mergeCell ref="A3:H3"/>
    <mergeCell ref="A252:A255"/>
    <mergeCell ref="A159:A171"/>
    <mergeCell ref="A256:A269"/>
    <mergeCell ref="A172:A251"/>
    <mergeCell ref="A6:A91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MED. I NEMED.</vt:lpstr>
      <vt:lpstr>ZN</vt:lpstr>
      <vt:lpstr>BN</vt:lpstr>
      <vt:lpstr>OKVIRNI SPORAZUMI</vt:lpstr>
      <vt:lpstr>LIJEKOVI</vt:lpstr>
      <vt:lpstr>LIJEKOVI OKVIRNI 2016</vt:lpstr>
      <vt:lpstr>ZN LIJEKOVI</vt:lpstr>
      <vt:lpstr>OSTALE BOLNICE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ibrekalo</dc:creator>
  <cp:lastModifiedBy>BAŠIĆ MLADENKA</cp:lastModifiedBy>
  <cp:lastPrinted>2016-12-19T08:37:40Z</cp:lastPrinted>
  <dcterms:created xsi:type="dcterms:W3CDTF">2015-03-04T08:44:51Z</dcterms:created>
  <dcterms:modified xsi:type="dcterms:W3CDTF">2017-03-01T12:39:11Z</dcterms:modified>
  <cp:contentStatus>Konačno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